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1095" windowWidth="15480" windowHeight="6225" tabRatio="682" activeTab="2"/>
  </bookViews>
  <sheets>
    <sheet name="Inscriptions" sheetId="1" r:id="rId1"/>
    <sheet name="Tirage au sort" sheetId="2" r:id="rId2"/>
    <sheet name="Poule 9 équipes" sheetId="3" r:id="rId3"/>
  </sheets>
  <definedNames>
    <definedName name="gag">'Tirage au sort'!$B$19</definedName>
    <definedName name="gas">'Tirage au sort'!$B$21</definedName>
    <definedName name="pas">'Tirage au sort'!$B$23</definedName>
    <definedName name="PC" localSheetId="2">'Poule 9 équipes'!$AN$23:$BD$36</definedName>
    <definedName name="PJ1" localSheetId="2">'Poule 9 équipes'!$F$23:$F$67</definedName>
    <definedName name="PJ2" localSheetId="2">'Poule 9 équipes'!$H$23:$H$67</definedName>
    <definedName name="PP1" localSheetId="2">'Poule 9 équipes'!$Q$23:$Q$67</definedName>
    <definedName name="PP2" localSheetId="2">'Poule 9 équipes'!$R$23:$R$67</definedName>
    <definedName name="PS1" localSheetId="2">'Poule 9 équipes'!$I$23:$I$67</definedName>
    <definedName name="PS2" localSheetId="2">'Poule 9 équipes'!$J$23:$J$67</definedName>
    <definedName name="pss">'Tirage au sort'!$B$25</definedName>
    <definedName name="tri">'Tirage au sort'!$B$11</definedName>
  </definedNames>
  <calcPr fullCalcOnLoad="1"/>
</workbook>
</file>

<file path=xl/sharedStrings.xml><?xml version="1.0" encoding="utf-8"?>
<sst xmlns="http://schemas.openxmlformats.org/spreadsheetml/2006/main" count="272" uniqueCount="146">
  <si>
    <t>J1</t>
  </si>
  <si>
    <t>J2</t>
  </si>
  <si>
    <t>J</t>
  </si>
  <si>
    <t>G</t>
  </si>
  <si>
    <t>F</t>
  </si>
  <si>
    <t>Diff.</t>
  </si>
  <si>
    <t>Po.</t>
  </si>
  <si>
    <t>Co.</t>
  </si>
  <si>
    <t>Score</t>
  </si>
  <si>
    <t>place</t>
  </si>
  <si>
    <t>équipe</t>
  </si>
  <si>
    <t>Delta</t>
  </si>
  <si>
    <t>Pnt</t>
  </si>
  <si>
    <t>R</t>
  </si>
  <si>
    <t>R1</t>
  </si>
  <si>
    <t>R2</t>
  </si>
  <si>
    <t>#1</t>
  </si>
  <si>
    <t>#2</t>
  </si>
  <si>
    <t>Po</t>
  </si>
  <si>
    <t>Co</t>
  </si>
  <si>
    <t>Pts</t>
  </si>
  <si>
    <t>Points</t>
  </si>
  <si>
    <t>Etape #1</t>
  </si>
  <si>
    <t>Etape #2</t>
  </si>
  <si>
    <t>Etape #3</t>
  </si>
  <si>
    <t>Etape #4</t>
  </si>
  <si>
    <t>Etape #5</t>
  </si>
  <si>
    <t>Tri (0 ou 1) :</t>
  </si>
  <si>
    <t>Position départ</t>
  </si>
  <si>
    <t>Rang</t>
  </si>
  <si>
    <t>c.</t>
  </si>
  <si>
    <t>Set 1</t>
  </si>
  <si>
    <t>Set 2</t>
  </si>
  <si>
    <t>Set 3</t>
  </si>
  <si>
    <t>total pts</t>
  </si>
  <si>
    <t>points m</t>
  </si>
  <si>
    <t>points e</t>
  </si>
  <si>
    <t>Sets</t>
  </si>
  <si>
    <t>Poule A</t>
  </si>
  <si>
    <t>PAS</t>
  </si>
  <si>
    <t>PSS</t>
  </si>
  <si>
    <t>point</t>
  </si>
  <si>
    <t>points</t>
  </si>
  <si>
    <t>Classement</t>
  </si>
  <si>
    <t>N</t>
  </si>
  <si>
    <t>P</t>
  </si>
  <si>
    <t>Participants</t>
  </si>
  <si>
    <t>tri :</t>
  </si>
  <si>
    <t>Match</t>
  </si>
  <si>
    <t>Diff</t>
  </si>
  <si>
    <t>Tournoi - Phase de poule</t>
  </si>
  <si>
    <t>G1</t>
  </si>
  <si>
    <t>G2</t>
  </si>
  <si>
    <t>P1</t>
  </si>
  <si>
    <t>P0</t>
  </si>
  <si>
    <t>G2 : Gagné</t>
  </si>
  <si>
    <t>G3 : Gagné 3 set</t>
  </si>
  <si>
    <t>P3 :Perdu Avec Set</t>
  </si>
  <si>
    <t>P2 : Perdu Sans Set</t>
  </si>
  <si>
    <t>3pts</t>
  </si>
  <si>
    <t>2pts</t>
  </si>
  <si>
    <t>1pt</t>
  </si>
  <si>
    <t>Scores au hasard sur :</t>
  </si>
  <si>
    <t>lignes</t>
  </si>
  <si>
    <t>Equipes concernées (Match gagné)</t>
  </si>
  <si>
    <t>Différence de Points Po - Co, Co</t>
  </si>
  <si>
    <t>Différence de sets Po - Co</t>
  </si>
  <si>
    <t>Sets gagnés</t>
  </si>
  <si>
    <t>Terrain</t>
  </si>
  <si>
    <t>J3</t>
  </si>
  <si>
    <t>J4</t>
  </si>
  <si>
    <t>J5</t>
  </si>
  <si>
    <t>J6</t>
  </si>
  <si>
    <t>J7</t>
  </si>
  <si>
    <t>Journée</t>
  </si>
  <si>
    <t>Terrain 1</t>
  </si>
  <si>
    <t>Terrain 2</t>
  </si>
  <si>
    <t>Terrain 3</t>
  </si>
  <si>
    <t>Terrain 4</t>
  </si>
  <si>
    <t>J8</t>
  </si>
  <si>
    <t>J9</t>
  </si>
  <si>
    <t>Equipe #</t>
  </si>
  <si>
    <t>Règlement - 3€/Joueur</t>
  </si>
  <si>
    <t>Euro 2016</t>
  </si>
  <si>
    <t>France</t>
  </si>
  <si>
    <t>Espagne</t>
  </si>
  <si>
    <t>Allemagne</t>
  </si>
  <si>
    <t>Angleterre</t>
  </si>
  <si>
    <t>Italie</t>
  </si>
  <si>
    <t>Suisse</t>
  </si>
  <si>
    <t>Belgique</t>
  </si>
  <si>
    <t>Islande</t>
  </si>
  <si>
    <t>Pologne</t>
  </si>
  <si>
    <t>Portugal</t>
  </si>
  <si>
    <t>Virgine - Damien - Mickaël</t>
  </si>
  <si>
    <t>Cathy - Fred - Philippe</t>
  </si>
  <si>
    <t>Nom Equipe</t>
  </si>
  <si>
    <t>Composition</t>
  </si>
  <si>
    <t>Malabars</t>
  </si>
  <si>
    <t>Dragibus</t>
  </si>
  <si>
    <t>Carensacs</t>
  </si>
  <si>
    <t>Michokos</t>
  </si>
  <si>
    <t>M&amp;M's</t>
  </si>
  <si>
    <t>Tagadas</t>
  </si>
  <si>
    <t>Réglisses</t>
  </si>
  <si>
    <t>Guimauves</t>
  </si>
  <si>
    <t>Chamallows</t>
  </si>
  <si>
    <t>Berlingots</t>
  </si>
  <si>
    <t>Bonbons</t>
  </si>
  <si>
    <t>Tirage</t>
  </si>
  <si>
    <t>Badminton</t>
  </si>
  <si>
    <t>Yonex</t>
  </si>
  <si>
    <t>Babolat</t>
  </si>
  <si>
    <t>Carlton</t>
  </si>
  <si>
    <t>Lining</t>
  </si>
  <si>
    <t>Oliver</t>
  </si>
  <si>
    <t>Wilson</t>
  </si>
  <si>
    <t>Adidas</t>
  </si>
  <si>
    <t>Trump</t>
  </si>
  <si>
    <t>Forza</t>
  </si>
  <si>
    <t>Flypower</t>
  </si>
  <si>
    <t>Karakal</t>
  </si>
  <si>
    <t>NBA</t>
  </si>
  <si>
    <t>Bulls</t>
  </si>
  <si>
    <t>Nuggets</t>
  </si>
  <si>
    <t>Rockets</t>
  </si>
  <si>
    <t>Warriors</t>
  </si>
  <si>
    <t>Celtics</t>
  </si>
  <si>
    <t>Lakers</t>
  </si>
  <si>
    <t>Spurs</t>
  </si>
  <si>
    <t>Cavaliers</t>
  </si>
  <si>
    <t>Nets</t>
  </si>
  <si>
    <t>Knicks</t>
  </si>
  <si>
    <t>Raptors</t>
  </si>
  <si>
    <t>Grèce</t>
  </si>
  <si>
    <t>Carambars</t>
  </si>
  <si>
    <t>Fabienne - Philippe - Charlie</t>
  </si>
  <si>
    <t>OK</t>
  </si>
  <si>
    <t>Chloé - Franck - Yann</t>
  </si>
  <si>
    <t>Fatma - Sébastien - Serdal</t>
  </si>
  <si>
    <t>Julie - Freddy - Freddy</t>
  </si>
  <si>
    <t>Annie - Christophe - Cédric</t>
  </si>
  <si>
    <t>Catarina - Jason - John</t>
  </si>
  <si>
    <t>Corinne - Dimitri - Alain</t>
  </si>
  <si>
    <t>Remplir UNIQUEMENT set 1</t>
  </si>
  <si>
    <t>Calendrier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</si>
</sst>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#&quot; &quot;##&quot; &quot;##&quot; &quot;##&quot; &quot;##"/>
    <numFmt numFmtId="176" formatCode="[$-40C]dddd\ d\ mmmm\ yyyy"/>
    <numFmt numFmtId="177" formatCode="\+#0;\-#0"/>
    <numFmt numFmtId="178" formatCode=";;;"/>
    <numFmt numFmtId="179" formatCode="&quot;Nb joueurs : &quot;#0"/>
    <numFmt numFmtId="180" formatCode="&quot;Nb oppositions : &quot;#0"/>
    <numFmt numFmtId="181" formatCode="&quot;Nb doubles : &quot;#0"/>
    <numFmt numFmtId="182" formatCode="&quot;Nb équipes : &quot;#0"/>
    <numFmt numFmtId="183" formatCode="&quot;Nb poules : &quot;#0"/>
    <numFmt numFmtId="184" formatCode="&quot;Nb équipes / poule : &quot;#0"/>
    <numFmt numFmtId="185" formatCode="&quot;Nb équipes restantes : &quot;#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1"/>
      <name val="Comic Sans MS"/>
      <family val="4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sz val="10"/>
      <name val="Comic Sans MS"/>
      <family val="0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3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2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 hidden="1"/>
    </xf>
    <xf numFmtId="0" fontId="9" fillId="2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/>
      <protection hidden="1"/>
    </xf>
    <xf numFmtId="0" fontId="7" fillId="0" borderId="16" xfId="0" applyFont="1" applyFill="1" applyBorder="1" applyAlignment="1" applyProtection="1">
      <alignment horizontal="right"/>
      <protection hidden="1"/>
    </xf>
    <xf numFmtId="0" fontId="7" fillId="0" borderId="17" xfId="0" applyFont="1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7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2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52" applyFont="1" applyAlignment="1">
      <alignment horizontal="right"/>
      <protection/>
    </xf>
    <xf numFmtId="0" fontId="12" fillId="0" borderId="0" xfId="52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2" fillId="0" borderId="0" xfId="52">
      <alignment/>
      <protection/>
    </xf>
    <xf numFmtId="0" fontId="12" fillId="0" borderId="0" xfId="52" applyAlignment="1">
      <alignment horizontal="right"/>
      <protection/>
    </xf>
    <xf numFmtId="182" fontId="13" fillId="0" borderId="18" xfId="52" applyNumberFormat="1" applyFont="1" applyBorder="1" applyAlignment="1">
      <alignment horizontal="center"/>
      <protection/>
    </xf>
    <xf numFmtId="0" fontId="12" fillId="0" borderId="19" xfId="52" applyBorder="1" applyAlignment="1">
      <alignment horizontal="center"/>
      <protection/>
    </xf>
    <xf numFmtId="183" fontId="13" fillId="7" borderId="19" xfId="52" applyNumberFormat="1" applyFont="1" applyFill="1" applyBorder="1" applyAlignment="1">
      <alignment horizontal="center"/>
      <protection/>
    </xf>
    <xf numFmtId="184" fontId="13" fillId="0" borderId="19" xfId="52" applyNumberFormat="1" applyFont="1" applyBorder="1" applyAlignment="1">
      <alignment horizontal="center"/>
      <protection/>
    </xf>
    <xf numFmtId="185" fontId="13" fillId="0" borderId="20" xfId="52" applyNumberFormat="1" applyFont="1" applyBorder="1" applyAlignment="1">
      <alignment horizontal="center"/>
      <protection/>
    </xf>
    <xf numFmtId="0" fontId="12" fillId="7" borderId="0" xfId="52" applyFont="1" applyFill="1" applyAlignment="1">
      <alignment horizontal="left"/>
      <protection/>
    </xf>
    <xf numFmtId="0" fontId="12" fillId="7" borderId="0" xfId="52" applyFill="1" applyAlignment="1">
      <alignment horizontal="left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7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0" xfId="52" applyFont="1" applyAlignment="1">
      <alignment horizontal="left"/>
      <protection/>
    </xf>
    <xf numFmtId="0" fontId="8" fillId="11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center" vertical="center"/>
    </xf>
    <xf numFmtId="177" fontId="8" fillId="11" borderId="0" xfId="0" applyNumberFormat="1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 vertical="center"/>
    </xf>
    <xf numFmtId="177" fontId="8" fillId="1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7" borderId="0" xfId="52" applyFont="1" applyFill="1" applyAlignment="1">
      <alignment horizontal="left"/>
      <protection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52" applyFont="1">
      <alignment/>
      <protection/>
    </xf>
    <xf numFmtId="0" fontId="9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0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right"/>
    </xf>
    <xf numFmtId="0" fontId="17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3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ournoiBad_essai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66675</xdr:rowOff>
    </xdr:from>
    <xdr:to>
      <xdr:col>5</xdr:col>
      <xdr:colOff>1228725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666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</xdr:row>
      <xdr:rowOff>28575</xdr:rowOff>
    </xdr:from>
    <xdr:to>
      <xdr:col>5</xdr:col>
      <xdr:colOff>1219200</xdr:colOff>
      <xdr:row>3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447675"/>
          <a:ext cx="962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J14"/>
  <sheetViews>
    <sheetView zoomScalePageLayoutView="0" workbookViewId="0" topLeftCell="A1">
      <selection activeCell="B3" sqref="B3:C11"/>
    </sheetView>
  </sheetViews>
  <sheetFormatPr defaultColWidth="11.421875" defaultRowHeight="12.75"/>
  <cols>
    <col min="2" max="2" width="28.00390625" style="47" customWidth="1"/>
    <col min="3" max="3" width="32.00390625" style="29" customWidth="1"/>
    <col min="4" max="4" width="6.421875" style="0" customWidth="1"/>
    <col min="8" max="8" width="11.00390625" style="0" bestFit="1" customWidth="1"/>
  </cols>
  <sheetData>
    <row r="2" spans="1:10" ht="12.75">
      <c r="A2" s="60" t="s">
        <v>81</v>
      </c>
      <c r="B2" s="60" t="s">
        <v>96</v>
      </c>
      <c r="C2" s="88" t="s">
        <v>97</v>
      </c>
      <c r="D2" s="88" t="s">
        <v>82</v>
      </c>
      <c r="G2" s="1" t="s">
        <v>83</v>
      </c>
      <c r="H2" s="1" t="s">
        <v>108</v>
      </c>
      <c r="I2" s="1" t="s">
        <v>110</v>
      </c>
      <c r="J2" s="1" t="s">
        <v>122</v>
      </c>
    </row>
    <row r="3" spans="1:10" ht="12.75">
      <c r="A3">
        <v>1</v>
      </c>
      <c r="B3" s="47" t="s">
        <v>111</v>
      </c>
      <c r="C3" s="29" t="s">
        <v>94</v>
      </c>
      <c r="D3" t="s">
        <v>137</v>
      </c>
      <c r="G3" t="s">
        <v>84</v>
      </c>
      <c r="H3" t="s">
        <v>105</v>
      </c>
      <c r="I3" t="s">
        <v>111</v>
      </c>
      <c r="J3" t="s">
        <v>123</v>
      </c>
    </row>
    <row r="4" spans="1:10" ht="12.75">
      <c r="A4">
        <f>A3+1</f>
        <v>2</v>
      </c>
      <c r="B4" s="47" t="s">
        <v>113</v>
      </c>
      <c r="C4" s="29" t="s">
        <v>136</v>
      </c>
      <c r="D4" t="s">
        <v>137</v>
      </c>
      <c r="G4" t="s">
        <v>85</v>
      </c>
      <c r="H4" t="s">
        <v>106</v>
      </c>
      <c r="I4" t="s">
        <v>113</v>
      </c>
      <c r="J4" t="s">
        <v>124</v>
      </c>
    </row>
    <row r="5" spans="1:10" ht="12.75">
      <c r="A5">
        <f aca="true" t="shared" si="0" ref="A5:A14">A4+1</f>
        <v>3</v>
      </c>
      <c r="B5" s="47" t="s">
        <v>112</v>
      </c>
      <c r="C5" s="29" t="s">
        <v>138</v>
      </c>
      <c r="D5" t="s">
        <v>137</v>
      </c>
      <c r="G5" t="s">
        <v>86</v>
      </c>
      <c r="H5" t="s">
        <v>101</v>
      </c>
      <c r="I5" t="s">
        <v>112</v>
      </c>
      <c r="J5" t="s">
        <v>125</v>
      </c>
    </row>
    <row r="6" spans="1:10" ht="12.75">
      <c r="A6">
        <f t="shared" si="0"/>
        <v>4</v>
      </c>
      <c r="B6" s="47" t="s">
        <v>114</v>
      </c>
      <c r="C6" s="29" t="s">
        <v>139</v>
      </c>
      <c r="D6" t="s">
        <v>137</v>
      </c>
      <c r="G6" t="s">
        <v>87</v>
      </c>
      <c r="H6" t="s">
        <v>99</v>
      </c>
      <c r="I6" t="s">
        <v>114</v>
      </c>
      <c r="J6" t="s">
        <v>126</v>
      </c>
    </row>
    <row r="7" spans="1:10" ht="12.75">
      <c r="A7">
        <f t="shared" si="0"/>
        <v>5</v>
      </c>
      <c r="B7" s="47" t="s">
        <v>115</v>
      </c>
      <c r="C7" s="29" t="s">
        <v>95</v>
      </c>
      <c r="D7" t="s">
        <v>137</v>
      </c>
      <c r="G7" t="s">
        <v>88</v>
      </c>
      <c r="H7" t="s">
        <v>107</v>
      </c>
      <c r="I7" t="s">
        <v>115</v>
      </c>
      <c r="J7" t="s">
        <v>127</v>
      </c>
    </row>
    <row r="8" spans="1:10" ht="12.75">
      <c r="A8">
        <f t="shared" si="0"/>
        <v>6</v>
      </c>
      <c r="B8" s="47" t="s">
        <v>116</v>
      </c>
      <c r="C8" s="29" t="s">
        <v>140</v>
      </c>
      <c r="D8" t="s">
        <v>137</v>
      </c>
      <c r="G8" t="s">
        <v>89</v>
      </c>
      <c r="H8" t="s">
        <v>100</v>
      </c>
      <c r="I8" t="s">
        <v>116</v>
      </c>
      <c r="J8" t="s">
        <v>128</v>
      </c>
    </row>
    <row r="9" spans="1:10" ht="12.75">
      <c r="A9">
        <f t="shared" si="0"/>
        <v>7</v>
      </c>
      <c r="B9" s="47" t="s">
        <v>117</v>
      </c>
      <c r="C9" s="29" t="s">
        <v>142</v>
      </c>
      <c r="D9" t="s">
        <v>137</v>
      </c>
      <c r="G9" t="s">
        <v>90</v>
      </c>
      <c r="H9" t="s">
        <v>98</v>
      </c>
      <c r="I9" t="s">
        <v>117</v>
      </c>
      <c r="J9" t="s">
        <v>129</v>
      </c>
    </row>
    <row r="10" spans="1:10" ht="12.75">
      <c r="A10">
        <f t="shared" si="0"/>
        <v>8</v>
      </c>
      <c r="B10" s="47" t="s">
        <v>118</v>
      </c>
      <c r="C10" s="29" t="s">
        <v>141</v>
      </c>
      <c r="D10" s="94" t="s">
        <v>137</v>
      </c>
      <c r="G10" t="s">
        <v>91</v>
      </c>
      <c r="H10" t="s">
        <v>104</v>
      </c>
      <c r="I10" t="s">
        <v>118</v>
      </c>
      <c r="J10" t="s">
        <v>130</v>
      </c>
    </row>
    <row r="11" spans="1:10" ht="12.75">
      <c r="A11">
        <f t="shared" si="0"/>
        <v>9</v>
      </c>
      <c r="B11" s="47" t="s">
        <v>119</v>
      </c>
      <c r="C11" s="29" t="s">
        <v>143</v>
      </c>
      <c r="D11" t="s">
        <v>137</v>
      </c>
      <c r="G11" t="s">
        <v>92</v>
      </c>
      <c r="H11" t="s">
        <v>102</v>
      </c>
      <c r="I11" t="s">
        <v>119</v>
      </c>
      <c r="J11" t="s">
        <v>133</v>
      </c>
    </row>
    <row r="12" spans="1:10" ht="12.75">
      <c r="A12">
        <f t="shared" si="0"/>
        <v>10</v>
      </c>
      <c r="B12" s="47" t="s">
        <v>121</v>
      </c>
      <c r="G12" t="s">
        <v>93</v>
      </c>
      <c r="H12" t="s">
        <v>103</v>
      </c>
      <c r="I12" t="s">
        <v>121</v>
      </c>
      <c r="J12" t="s">
        <v>131</v>
      </c>
    </row>
    <row r="13" spans="1:10" ht="12.75">
      <c r="A13">
        <f t="shared" si="0"/>
        <v>11</v>
      </c>
      <c r="B13" s="47" t="s">
        <v>120</v>
      </c>
      <c r="G13" t="s">
        <v>134</v>
      </c>
      <c r="H13" t="s">
        <v>135</v>
      </c>
      <c r="I13" t="s">
        <v>120</v>
      </c>
      <c r="J13" t="s">
        <v>132</v>
      </c>
    </row>
    <row r="14" ht="12.75">
      <c r="A14">
        <f t="shared" si="0"/>
        <v>12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C100"/>
  <sheetViews>
    <sheetView zoomScalePageLayoutView="0" workbookViewId="0" topLeftCell="A1">
      <selection activeCell="F15" sqref="F15"/>
    </sheetView>
  </sheetViews>
  <sheetFormatPr defaultColWidth="12.57421875" defaultRowHeight="12.75"/>
  <cols>
    <col min="1" max="1" width="15.7109375" style="34" bestFit="1" customWidth="1"/>
    <col min="2" max="2" width="3.8515625" style="34" customWidth="1"/>
    <col min="3" max="3" width="26.7109375" style="34" customWidth="1"/>
    <col min="4" max="4" width="6.421875" style="35" customWidth="1"/>
    <col min="5" max="5" width="33.7109375" style="42" bestFit="1" customWidth="1"/>
    <col min="6" max="6" width="26.140625" style="32" bestFit="1" customWidth="1"/>
    <col min="7" max="7" width="28.00390625" style="34" customWidth="1"/>
    <col min="8" max="8" width="3.421875" style="34" customWidth="1"/>
    <col min="9" max="9" width="29.7109375" style="34" customWidth="1"/>
    <col min="10" max="10" width="3.7109375" style="34" customWidth="1"/>
    <col min="11" max="11" width="22.7109375" style="34" customWidth="1"/>
    <col min="12" max="12" width="2.57421875" style="34" customWidth="1"/>
    <col min="13" max="13" width="26.8515625" style="34" customWidth="1"/>
    <col min="14" max="14" width="3.140625" style="34" customWidth="1"/>
    <col min="15" max="15" width="18.7109375" style="34" customWidth="1"/>
    <col min="16" max="16" width="3.421875" style="34" customWidth="1"/>
    <col min="17" max="17" width="18.7109375" style="34" customWidth="1"/>
    <col min="18" max="18" width="3.421875" style="34" customWidth="1"/>
    <col min="19" max="19" width="12.57421875" style="34" customWidth="1"/>
    <col min="20" max="20" width="3.00390625" style="34" customWidth="1"/>
    <col min="21" max="21" width="12.57421875" style="34" customWidth="1"/>
    <col min="22" max="22" width="2.7109375" style="34" customWidth="1"/>
    <col min="23" max="23" width="12.57421875" style="34" customWidth="1"/>
    <col min="24" max="24" width="2.28125" style="34" customWidth="1"/>
    <col min="25" max="16384" width="12.57421875" style="34" customWidth="1"/>
  </cols>
  <sheetData>
    <row r="1" spans="4:7" s="33" customFormat="1" ht="16.5">
      <c r="D1" s="31">
        <f>IF(E1="","",1)</f>
        <v>1</v>
      </c>
      <c r="E1" s="41" t="s">
        <v>111</v>
      </c>
      <c r="G1" s="33" t="s">
        <v>38</v>
      </c>
    </row>
    <row r="2" spans="4:55" ht="16.5">
      <c r="D2" s="31">
        <f aca="true" t="shared" si="0" ref="D2:D8">IF(E2="","",D1+1)</f>
        <v>2</v>
      </c>
      <c r="E2" s="41" t="s">
        <v>113</v>
      </c>
      <c r="G2" s="34" t="s">
        <v>114</v>
      </c>
      <c r="Y2" s="34" t="s">
        <v>64</v>
      </c>
      <c r="AA2" s="34" t="s">
        <v>65</v>
      </c>
      <c r="AO2" s="34">
        <v>1</v>
      </c>
      <c r="AQ2" s="34">
        <v>0</v>
      </c>
      <c r="AU2" s="34" t="s">
        <v>66</v>
      </c>
      <c r="AW2" s="34" t="s">
        <v>67</v>
      </c>
      <c r="BA2" s="34">
        <v>2</v>
      </c>
      <c r="BC2" s="34">
        <v>3</v>
      </c>
    </row>
    <row r="3" spans="4:7" ht="16.5">
      <c r="D3" s="31">
        <f t="shared" si="0"/>
        <v>3</v>
      </c>
      <c r="E3" s="41" t="s">
        <v>112</v>
      </c>
      <c r="G3" s="34" t="s">
        <v>112</v>
      </c>
    </row>
    <row r="4" spans="4:7" ht="16.5">
      <c r="D4" s="31">
        <f t="shared" si="0"/>
        <v>4</v>
      </c>
      <c r="E4" s="41" t="s">
        <v>114</v>
      </c>
      <c r="G4" s="34" t="s">
        <v>111</v>
      </c>
    </row>
    <row r="5" spans="4:7" ht="16.5">
      <c r="D5" s="31">
        <f t="shared" si="0"/>
        <v>5</v>
      </c>
      <c r="E5" s="41" t="s">
        <v>115</v>
      </c>
      <c r="G5" s="34" t="s">
        <v>115</v>
      </c>
    </row>
    <row r="6" spans="4:7" ht="16.5">
      <c r="D6" s="31">
        <f t="shared" si="0"/>
        <v>6</v>
      </c>
      <c r="E6" s="41" t="s">
        <v>116</v>
      </c>
      <c r="F6" s="36">
        <f>MAX(D1:D100)</f>
        <v>9</v>
      </c>
      <c r="G6" s="34" t="s">
        <v>116</v>
      </c>
    </row>
    <row r="7" spans="4:7" ht="16.5">
      <c r="D7" s="31">
        <f t="shared" si="0"/>
        <v>7</v>
      </c>
      <c r="E7" s="41" t="s">
        <v>117</v>
      </c>
      <c r="F7" s="37"/>
      <c r="G7" s="34" t="s">
        <v>119</v>
      </c>
    </row>
    <row r="8" spans="4:7" ht="16.5">
      <c r="D8" s="31">
        <f t="shared" si="0"/>
        <v>8</v>
      </c>
      <c r="E8" s="41" t="s">
        <v>118</v>
      </c>
      <c r="F8" s="38">
        <v>1</v>
      </c>
      <c r="G8" s="34" t="s">
        <v>117</v>
      </c>
    </row>
    <row r="9" spans="4:7" ht="16.5">
      <c r="D9" s="31">
        <f aca="true" t="shared" si="1" ref="D9:D33">IF(E9="","",D8+1)</f>
        <v>9</v>
      </c>
      <c r="E9" s="41" t="s">
        <v>119</v>
      </c>
      <c r="F9" s="37"/>
      <c r="G9" s="34" t="s">
        <v>113</v>
      </c>
    </row>
    <row r="10" spans="4:7" ht="16.5">
      <c r="D10" s="31">
        <f t="shared" si="1"/>
      </c>
      <c r="E10" s="86"/>
      <c r="F10" s="39">
        <f>INT(F6/F8)</f>
        <v>9</v>
      </c>
      <c r="G10" s="34" t="s">
        <v>118</v>
      </c>
    </row>
    <row r="11" spans="1:6" ht="16.5">
      <c r="A11" s="11" t="s">
        <v>27</v>
      </c>
      <c r="B11" s="19">
        <v>1</v>
      </c>
      <c r="C11" s="8"/>
      <c r="D11" s="31">
        <f t="shared" si="1"/>
      </c>
      <c r="E11" s="86"/>
      <c r="F11" s="37"/>
    </row>
    <row r="12" spans="1:6" ht="16.5">
      <c r="A12" s="13"/>
      <c r="B12" s="14"/>
      <c r="C12" s="10"/>
      <c r="D12" s="31">
        <f t="shared" si="1"/>
      </c>
      <c r="E12" s="86"/>
      <c r="F12" s="40">
        <f>F6-F8*F10</f>
        <v>0</v>
      </c>
    </row>
    <row r="13" spans="1:5" ht="16.5">
      <c r="A13" s="15" t="s">
        <v>22</v>
      </c>
      <c r="B13" s="5" t="s">
        <v>21</v>
      </c>
      <c r="C13" s="10"/>
      <c r="D13" s="31">
        <f t="shared" si="1"/>
      </c>
      <c r="E13" s="41"/>
    </row>
    <row r="14" spans="1:5" ht="16.5">
      <c r="A14" s="15" t="s">
        <v>23</v>
      </c>
      <c r="B14" s="5" t="str">
        <f>IF(tri=0,"Equipes concernées (Match gagné)","Différence de sets Po - Co")</f>
        <v>Différence de sets Po - Co</v>
      </c>
      <c r="C14" s="10"/>
      <c r="D14" s="31">
        <f t="shared" si="1"/>
      </c>
      <c r="E14" s="41"/>
    </row>
    <row r="15" spans="1:11" ht="16.5">
      <c r="A15" s="15" t="s">
        <v>24</v>
      </c>
      <c r="B15" s="5" t="str">
        <f>IF(tri=0,"Différence de sets Po - Co","Sets gagnés")</f>
        <v>Sets gagnés</v>
      </c>
      <c r="C15" s="10"/>
      <c r="D15" s="31">
        <f t="shared" si="1"/>
      </c>
      <c r="E15" s="41"/>
      <c r="F15"/>
      <c r="G15" s="89"/>
      <c r="I15" s="89"/>
      <c r="K15" s="89"/>
    </row>
    <row r="16" spans="1:11" ht="16.5">
      <c r="A16" s="15" t="s">
        <v>25</v>
      </c>
      <c r="B16" s="5" t="str">
        <f>IF(tri=0,"Sets gagnés","Différence de Points Po - Co, Co")</f>
        <v>Différence de Points Po - Co, Co</v>
      </c>
      <c r="C16" s="10"/>
      <c r="D16" s="31">
        <f t="shared" si="1"/>
      </c>
      <c r="E16" s="41"/>
      <c r="F16"/>
      <c r="G16" s="89"/>
      <c r="I16" s="89"/>
      <c r="K16" s="89"/>
    </row>
    <row r="17" spans="1:11" ht="16.5">
      <c r="A17" s="16" t="s">
        <v>26</v>
      </c>
      <c r="B17" s="17" t="str">
        <f>IF(tri=0,"Différence de Points Po - Co, Co","Equipes concernées (Match gagné)")</f>
        <v>Equipes concernées (Match gagné)</v>
      </c>
      <c r="C17" s="9"/>
      <c r="D17" s="31">
        <f t="shared" si="1"/>
      </c>
      <c r="E17" s="41"/>
      <c r="F17"/>
      <c r="G17" s="89"/>
      <c r="I17" s="89"/>
      <c r="K17" s="89"/>
    </row>
    <row r="18" spans="1:11" ht="16.5">
      <c r="A18" s="43"/>
      <c r="B18" s="12"/>
      <c r="C18" s="8"/>
      <c r="D18" s="31">
        <f t="shared" si="1"/>
      </c>
      <c r="F18"/>
      <c r="G18" s="89"/>
      <c r="I18" s="89"/>
      <c r="K18" s="89"/>
    </row>
    <row r="19" spans="1:11" ht="16.5">
      <c r="A19" s="15" t="s">
        <v>55</v>
      </c>
      <c r="B19" s="46">
        <v>3</v>
      </c>
      <c r="C19" s="10" t="s">
        <v>42</v>
      </c>
      <c r="D19" s="31">
        <f t="shared" si="1"/>
      </c>
      <c r="F19"/>
      <c r="G19" s="89"/>
      <c r="I19" s="89"/>
      <c r="K19" s="89"/>
    </row>
    <row r="20" spans="1:11" ht="16.5">
      <c r="A20" s="15"/>
      <c r="B20" s="75"/>
      <c r="C20" s="10"/>
      <c r="D20" s="31">
        <f t="shared" si="1"/>
      </c>
      <c r="F20"/>
      <c r="G20" s="89"/>
      <c r="I20" s="89"/>
      <c r="K20" s="89"/>
    </row>
    <row r="21" spans="1:11" ht="16.5">
      <c r="A21" s="15" t="s">
        <v>56</v>
      </c>
      <c r="B21" s="46">
        <v>2</v>
      </c>
      <c r="C21" s="10" t="s">
        <v>42</v>
      </c>
      <c r="D21" s="31">
        <f t="shared" si="1"/>
      </c>
      <c r="F21"/>
      <c r="G21" s="89"/>
      <c r="I21" s="89"/>
      <c r="K21" s="89"/>
    </row>
    <row r="22" spans="1:11" ht="16.5">
      <c r="A22" s="44"/>
      <c r="B22" s="26"/>
      <c r="C22" s="10"/>
      <c r="D22" s="31">
        <f t="shared" si="1"/>
      </c>
      <c r="F22"/>
      <c r="G22" s="89"/>
      <c r="I22" s="89"/>
      <c r="K22" s="89"/>
    </row>
    <row r="23" spans="1:11" ht="16.5">
      <c r="A23" s="15" t="s">
        <v>57</v>
      </c>
      <c r="B23" s="46">
        <v>1</v>
      </c>
      <c r="C23" s="10" t="s">
        <v>41</v>
      </c>
      <c r="D23" s="31">
        <f t="shared" si="1"/>
      </c>
      <c r="F23"/>
      <c r="G23" s="89"/>
      <c r="I23" s="89"/>
      <c r="K23" s="89"/>
    </row>
    <row r="24" spans="1:11" ht="16.5">
      <c r="A24" s="15"/>
      <c r="B24" s="26"/>
      <c r="C24" s="10"/>
      <c r="D24" s="31">
        <f t="shared" si="1"/>
      </c>
      <c r="F24"/>
      <c r="G24" s="89"/>
      <c r="I24" s="89"/>
      <c r="K24" s="89"/>
    </row>
    <row r="25" spans="1:6" ht="16.5">
      <c r="A25" s="15" t="s">
        <v>58</v>
      </c>
      <c r="B25" s="46">
        <v>1</v>
      </c>
      <c r="C25" s="10" t="s">
        <v>41</v>
      </c>
      <c r="D25" s="31">
        <f t="shared" si="1"/>
      </c>
      <c r="F25" s="64"/>
    </row>
    <row r="26" spans="1:6" ht="16.5">
      <c r="A26" s="45"/>
      <c r="B26" s="18"/>
      <c r="C26" s="9"/>
      <c r="D26" s="31">
        <f t="shared" si="1"/>
      </c>
      <c r="F26" s="29"/>
    </row>
    <row r="27" spans="4:6" ht="16.5">
      <c r="D27" s="31">
        <f t="shared" si="1"/>
      </c>
      <c r="F27" s="29"/>
    </row>
    <row r="28" spans="4:6" ht="16.5">
      <c r="D28" s="31">
        <f t="shared" si="1"/>
      </c>
      <c r="F28" s="29"/>
    </row>
    <row r="29" spans="4:6" ht="16.5">
      <c r="D29" s="31">
        <f t="shared" si="1"/>
      </c>
      <c r="F29" s="29"/>
    </row>
    <row r="30" spans="4:6" ht="16.5">
      <c r="D30" s="31">
        <f t="shared" si="1"/>
      </c>
      <c r="F30" s="29"/>
    </row>
    <row r="31" spans="4:6" ht="16.5">
      <c r="D31" s="31">
        <f t="shared" si="1"/>
      </c>
      <c r="F31" s="29"/>
    </row>
    <row r="32" spans="4:6" ht="16.5">
      <c r="D32" s="31">
        <f t="shared" si="1"/>
      </c>
      <c r="F32" s="29"/>
    </row>
    <row r="33" spans="4:6" ht="16.5">
      <c r="D33" s="31">
        <f t="shared" si="1"/>
      </c>
      <c r="F33" s="29"/>
    </row>
    <row r="34" spans="4:6" ht="16.5">
      <c r="D34" s="31">
        <f aca="true" t="shared" si="2" ref="D34:D65">IF(E34="","",D33+1)</f>
      </c>
      <c r="F34" s="29"/>
    </row>
    <row r="35" spans="4:6" ht="16.5">
      <c r="D35" s="31">
        <f t="shared" si="2"/>
      </c>
      <c r="F35" s="29"/>
    </row>
    <row r="36" spans="4:6" ht="16.5">
      <c r="D36" s="31">
        <f t="shared" si="2"/>
      </c>
      <c r="F36" s="64"/>
    </row>
    <row r="37" ht="16.5">
      <c r="D37" s="31">
        <f t="shared" si="2"/>
      </c>
    </row>
    <row r="38" ht="16.5">
      <c r="D38" s="31">
        <f t="shared" si="2"/>
      </c>
    </row>
    <row r="39" ht="16.5">
      <c r="D39" s="31">
        <f t="shared" si="2"/>
      </c>
    </row>
    <row r="40" ht="16.5">
      <c r="D40" s="31">
        <f t="shared" si="2"/>
      </c>
    </row>
    <row r="41" ht="16.5">
      <c r="D41" s="31">
        <f t="shared" si="2"/>
      </c>
    </row>
    <row r="42" ht="16.5">
      <c r="D42" s="31">
        <f t="shared" si="2"/>
      </c>
    </row>
    <row r="43" ht="16.5">
      <c r="D43" s="31">
        <f t="shared" si="2"/>
      </c>
    </row>
    <row r="44" ht="16.5">
      <c r="D44" s="31">
        <f t="shared" si="2"/>
      </c>
    </row>
    <row r="45" ht="16.5">
      <c r="D45" s="31">
        <f t="shared" si="2"/>
      </c>
    </row>
    <row r="46" ht="16.5">
      <c r="D46" s="31">
        <f t="shared" si="2"/>
      </c>
    </row>
    <row r="47" ht="16.5">
      <c r="D47" s="31">
        <f t="shared" si="2"/>
      </c>
    </row>
    <row r="48" ht="16.5">
      <c r="D48" s="31">
        <f t="shared" si="2"/>
      </c>
    </row>
    <row r="49" ht="16.5">
      <c r="D49" s="31">
        <f t="shared" si="2"/>
      </c>
    </row>
    <row r="50" ht="16.5">
      <c r="D50" s="31">
        <f t="shared" si="2"/>
      </c>
    </row>
    <row r="51" ht="16.5">
      <c r="D51" s="31">
        <f t="shared" si="2"/>
      </c>
    </row>
    <row r="52" ht="16.5">
      <c r="D52" s="31">
        <f t="shared" si="2"/>
      </c>
    </row>
    <row r="53" ht="16.5">
      <c r="D53" s="31">
        <f t="shared" si="2"/>
      </c>
    </row>
    <row r="54" ht="16.5">
      <c r="D54" s="31">
        <f t="shared" si="2"/>
      </c>
    </row>
    <row r="55" ht="16.5">
      <c r="D55" s="31">
        <f t="shared" si="2"/>
      </c>
    </row>
    <row r="56" ht="16.5">
      <c r="D56" s="31">
        <f t="shared" si="2"/>
      </c>
    </row>
    <row r="57" ht="16.5">
      <c r="D57" s="31">
        <f t="shared" si="2"/>
      </c>
    </row>
    <row r="58" ht="16.5">
      <c r="D58" s="31">
        <f t="shared" si="2"/>
      </c>
    </row>
    <row r="59" ht="16.5">
      <c r="D59" s="31">
        <f t="shared" si="2"/>
      </c>
    </row>
    <row r="60" ht="16.5">
      <c r="D60" s="31">
        <f t="shared" si="2"/>
      </c>
    </row>
    <row r="61" ht="16.5">
      <c r="D61" s="31">
        <f t="shared" si="2"/>
      </c>
    </row>
    <row r="62" ht="16.5">
      <c r="D62" s="31">
        <f t="shared" si="2"/>
      </c>
    </row>
    <row r="63" ht="16.5">
      <c r="D63" s="31">
        <f t="shared" si="2"/>
      </c>
    </row>
    <row r="64" ht="16.5">
      <c r="D64" s="31">
        <f t="shared" si="2"/>
      </c>
    </row>
    <row r="65" ht="16.5">
      <c r="D65" s="31">
        <f t="shared" si="2"/>
      </c>
    </row>
    <row r="66" ht="16.5">
      <c r="D66" s="31">
        <f aca="true" t="shared" si="3" ref="D66:D97">IF(E66="","",D65+1)</f>
      </c>
    </row>
    <row r="67" ht="16.5">
      <c r="D67" s="31">
        <f t="shared" si="3"/>
      </c>
    </row>
    <row r="68" ht="16.5">
      <c r="D68" s="31">
        <f t="shared" si="3"/>
      </c>
    </row>
    <row r="69" ht="16.5">
      <c r="D69" s="31">
        <f t="shared" si="3"/>
      </c>
    </row>
    <row r="70" ht="16.5">
      <c r="D70" s="31">
        <f t="shared" si="3"/>
      </c>
    </row>
    <row r="71" ht="16.5">
      <c r="D71" s="31">
        <f t="shared" si="3"/>
      </c>
    </row>
    <row r="72" ht="16.5">
      <c r="D72" s="31">
        <f t="shared" si="3"/>
      </c>
    </row>
    <row r="73" ht="16.5">
      <c r="D73" s="31">
        <f t="shared" si="3"/>
      </c>
    </row>
    <row r="74" ht="16.5">
      <c r="D74" s="31">
        <f t="shared" si="3"/>
      </c>
    </row>
    <row r="75" ht="16.5">
      <c r="D75" s="31">
        <f t="shared" si="3"/>
      </c>
    </row>
    <row r="76" ht="16.5">
      <c r="D76" s="31">
        <f t="shared" si="3"/>
      </c>
    </row>
    <row r="77" ht="16.5">
      <c r="D77" s="31">
        <f t="shared" si="3"/>
      </c>
    </row>
    <row r="78" ht="16.5">
      <c r="D78" s="31">
        <f t="shared" si="3"/>
      </c>
    </row>
    <row r="79" ht="16.5">
      <c r="D79" s="31">
        <f t="shared" si="3"/>
      </c>
    </row>
    <row r="80" ht="16.5">
      <c r="D80" s="31">
        <f t="shared" si="3"/>
      </c>
    </row>
    <row r="81" ht="16.5">
      <c r="D81" s="31">
        <f t="shared" si="3"/>
      </c>
    </row>
    <row r="82" ht="16.5">
      <c r="D82" s="31">
        <f t="shared" si="3"/>
      </c>
    </row>
    <row r="83" ht="16.5">
      <c r="D83" s="31">
        <f t="shared" si="3"/>
      </c>
    </row>
    <row r="84" ht="16.5">
      <c r="D84" s="31">
        <f t="shared" si="3"/>
      </c>
    </row>
    <row r="85" ht="16.5">
      <c r="D85" s="31">
        <f t="shared" si="3"/>
      </c>
    </row>
    <row r="86" ht="16.5">
      <c r="D86" s="31">
        <f t="shared" si="3"/>
      </c>
    </row>
    <row r="87" ht="16.5">
      <c r="D87" s="31">
        <f t="shared" si="3"/>
      </c>
    </row>
    <row r="88" ht="16.5">
      <c r="D88" s="31">
        <f t="shared" si="3"/>
      </c>
    </row>
    <row r="89" ht="16.5">
      <c r="D89" s="31">
        <f t="shared" si="3"/>
      </c>
    </row>
    <row r="90" ht="16.5">
      <c r="D90" s="31">
        <f t="shared" si="3"/>
      </c>
    </row>
    <row r="91" ht="16.5">
      <c r="D91" s="31">
        <f t="shared" si="3"/>
      </c>
    </row>
    <row r="92" ht="16.5">
      <c r="D92" s="31">
        <f t="shared" si="3"/>
      </c>
    </row>
    <row r="93" ht="16.5">
      <c r="D93" s="31">
        <f t="shared" si="3"/>
      </c>
    </row>
    <row r="94" ht="16.5">
      <c r="D94" s="31">
        <f t="shared" si="3"/>
      </c>
    </row>
    <row r="95" ht="16.5">
      <c r="D95" s="31">
        <f t="shared" si="3"/>
      </c>
    </row>
    <row r="96" ht="16.5">
      <c r="D96" s="31">
        <f t="shared" si="3"/>
      </c>
    </row>
    <row r="97" ht="16.5">
      <c r="D97" s="31">
        <f t="shared" si="3"/>
      </c>
    </row>
    <row r="98" ht="16.5">
      <c r="D98" s="31">
        <f>IF(E98="","",D97+1)</f>
      </c>
    </row>
    <row r="99" ht="16.5">
      <c r="D99" s="31">
        <f>IF(E99="","",D98+1)</f>
      </c>
    </row>
    <row r="100" ht="16.5">
      <c r="D100" s="31">
        <f>IF(E100="","",D99+1)</f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BD88"/>
  <sheetViews>
    <sheetView tabSelected="1" zoomScalePageLayoutView="0" workbookViewId="0" topLeftCell="A1">
      <pane ySplit="12" topLeftCell="BM20" activePane="bottomLeft" state="frozen"/>
      <selection pane="topLeft" activeCell="A1" sqref="A1"/>
      <selection pane="bottomLeft" activeCell="C3" sqref="C3"/>
    </sheetView>
  </sheetViews>
  <sheetFormatPr defaultColWidth="11.421875" defaultRowHeight="12.75"/>
  <cols>
    <col min="1" max="1" width="7.7109375" style="29" customWidth="1"/>
    <col min="2" max="2" width="8.140625" style="29" bestFit="1" customWidth="1"/>
    <col min="3" max="3" width="7.28125" style="29" customWidth="1"/>
    <col min="4" max="4" width="24.57421875" style="0" bestFit="1" customWidth="1"/>
    <col min="5" max="5" width="3.00390625" style="0" customWidth="1"/>
    <col min="6" max="6" width="10.00390625" style="0" customWidth="1"/>
    <col min="7" max="7" width="3.00390625" style="0" bestFit="1" customWidth="1"/>
    <col min="8" max="8" width="12.00390625" style="0" customWidth="1"/>
    <col min="9" max="9" width="3.7109375" style="62" customWidth="1"/>
    <col min="10" max="10" width="3.7109375" style="57" customWidth="1"/>
    <col min="11" max="11" width="3.7109375" style="47" customWidth="1"/>
    <col min="12" max="12" width="3.7109375" style="57" customWidth="1"/>
    <col min="13" max="13" width="3.7109375" style="47" customWidth="1"/>
    <col min="14" max="14" width="3.7109375" style="57" customWidth="1"/>
    <col min="15" max="15" width="3.7109375" style="60" customWidth="1"/>
    <col min="16" max="16" width="3.7109375" style="61" customWidth="1"/>
    <col min="17" max="17" width="4.57421875" style="0" customWidth="1"/>
    <col min="18" max="19" width="3.7109375" style="0" customWidth="1"/>
    <col min="20" max="20" width="5.00390625" style="0" bestFit="1" customWidth="1"/>
    <col min="21" max="30" width="4.140625" style="0" customWidth="1"/>
    <col min="31" max="31" width="3.7109375" style="0" customWidth="1"/>
    <col min="32" max="32" width="3.8515625" style="0" customWidth="1"/>
    <col min="33" max="33" width="25.8515625" style="0" hidden="1" customWidth="1"/>
    <col min="34" max="34" width="20.00390625" style="0" hidden="1" customWidth="1"/>
    <col min="35" max="39" width="4.7109375" style="0" hidden="1" customWidth="1"/>
    <col min="40" max="40" width="0" style="0" hidden="1" customWidth="1"/>
    <col min="41" max="41" width="21.57421875" style="0" hidden="1" customWidth="1"/>
    <col min="42" max="47" width="5.7109375" style="0" hidden="1" customWidth="1"/>
    <col min="48" max="48" width="7.8515625" style="0" hidden="1" customWidth="1"/>
    <col min="49" max="50" width="5.7109375" style="0" hidden="1" customWidth="1"/>
    <col min="51" max="51" width="12.28125" style="0" hidden="1" customWidth="1"/>
    <col min="52" max="52" width="10.00390625" style="0" hidden="1" customWidth="1"/>
    <col min="53" max="56" width="5.7109375" style="0" hidden="1" customWidth="1"/>
    <col min="57" max="57" width="5.7109375" style="0" customWidth="1"/>
  </cols>
  <sheetData>
    <row r="1" spans="5:16" ht="16.5">
      <c r="E1" s="113" t="s">
        <v>50</v>
      </c>
      <c r="F1" s="113"/>
      <c r="G1" s="113"/>
      <c r="H1" s="113"/>
      <c r="I1" s="26"/>
      <c r="J1" s="26"/>
      <c r="K1" s="76" t="s">
        <v>59</v>
      </c>
      <c r="L1" s="76" t="s">
        <v>60</v>
      </c>
      <c r="M1" s="76" t="s">
        <v>61</v>
      </c>
      <c r="N1" s="76" t="s">
        <v>61</v>
      </c>
      <c r="O1" s="48"/>
      <c r="P1" s="48"/>
    </row>
    <row r="2" spans="3:29" ht="12.75">
      <c r="C2" s="29" t="s">
        <v>145</v>
      </c>
      <c r="G2" s="4"/>
      <c r="H2" s="4"/>
      <c r="I2" s="4" t="s">
        <v>2</v>
      </c>
      <c r="J2" s="6" t="s">
        <v>20</v>
      </c>
      <c r="K2" s="4" t="s">
        <v>52</v>
      </c>
      <c r="L2" s="4" t="s">
        <v>51</v>
      </c>
      <c r="M2" s="4" t="s">
        <v>53</v>
      </c>
      <c r="N2" s="4" t="s">
        <v>54</v>
      </c>
      <c r="O2" s="114" t="s">
        <v>37</v>
      </c>
      <c r="P2" s="115"/>
      <c r="Q2" s="115"/>
      <c r="R2" s="114" t="s">
        <v>21</v>
      </c>
      <c r="S2" s="114"/>
      <c r="T2" s="114"/>
      <c r="Y2" s="74"/>
      <c r="AC2" s="74"/>
    </row>
    <row r="3" spans="1:20" ht="12.75">
      <c r="A3" s="116"/>
      <c r="B3" s="116"/>
      <c r="C3" s="88" t="s">
        <v>109</v>
      </c>
      <c r="D3">
        <v>9</v>
      </c>
      <c r="E3" s="1" t="s">
        <v>46</v>
      </c>
      <c r="G3" s="69" t="s">
        <v>43</v>
      </c>
      <c r="H3" s="4"/>
      <c r="I3" s="4"/>
      <c r="J3" s="6"/>
      <c r="K3" s="4"/>
      <c r="L3" s="4"/>
      <c r="M3" s="4"/>
      <c r="N3" s="4"/>
      <c r="O3" s="4" t="s">
        <v>6</v>
      </c>
      <c r="P3" s="4" t="s">
        <v>7</v>
      </c>
      <c r="Q3" s="22" t="s">
        <v>5</v>
      </c>
      <c r="R3" s="4" t="s">
        <v>6</v>
      </c>
      <c r="S3" s="4" t="s">
        <v>7</v>
      </c>
      <c r="T3" s="22" t="s">
        <v>5</v>
      </c>
    </row>
    <row r="4" spans="1:22" ht="12.75">
      <c r="A4" s="117"/>
      <c r="B4" s="118"/>
      <c r="C4" s="107" t="str">
        <f>IF('Tirage au sort'!G2="","exempt",'Tirage au sort'!G2)</f>
        <v>Lining</v>
      </c>
      <c r="D4" t="str">
        <f>VLOOKUP(C4,Inscriptions!$B$3:$C$11,2,FALSE)</f>
        <v>Fatma - Sébastien - Serdal</v>
      </c>
      <c r="E4">
        <v>1</v>
      </c>
      <c r="F4" s="29" t="s">
        <v>114</v>
      </c>
      <c r="G4" s="70">
        <v>1</v>
      </c>
      <c r="H4" s="71" t="str">
        <f aca="true" t="shared" si="0" ref="H4:H17">IF(G4="","-",VLOOKUP(G4,PC,2,FALSE))</f>
        <v>Forza</v>
      </c>
      <c r="I4" s="70">
        <f aca="true" t="shared" si="1" ref="I4:I17">IF(G4="","-",SUM(K4:N4))</f>
        <v>8</v>
      </c>
      <c r="J4" s="72">
        <f aca="true" t="shared" si="2" ref="J4:J17">IF(G4="","-",K4*gag+L4*gas+M4*pas+N4*pss)</f>
        <v>22</v>
      </c>
      <c r="K4" s="70">
        <f aca="true" t="shared" si="3" ref="K4:K17">IF(G4="","-",VLOOKUP(G4,PC,3,FALSE))</f>
        <v>7</v>
      </c>
      <c r="L4" s="70">
        <f aca="true" t="shared" si="4" ref="L4:L17">IF(G4="","-",VLOOKUP(G4,PC,6,FALSE))</f>
        <v>0</v>
      </c>
      <c r="M4" s="70">
        <f aca="true" t="shared" si="5" ref="M4:M17">IF(G4="","-",VLOOKUP(G4,PC,4,FALSE))</f>
        <v>0</v>
      </c>
      <c r="N4" s="70">
        <f aca="true" t="shared" si="6" ref="N4:N17">IF(G4="","-",VLOOKUP(G4,PC,5,FALSE))</f>
        <v>1</v>
      </c>
      <c r="O4" s="70">
        <f aca="true" t="shared" si="7" ref="O4:O17">IF(G4="","-",VLOOKUP(G4,PC,7,FALSE))</f>
        <v>7</v>
      </c>
      <c r="P4" s="70">
        <f aca="true" t="shared" si="8" ref="P4:P17">IF(G4="","-",VLOOKUP(G4,PC,8,FALSE))</f>
        <v>1</v>
      </c>
      <c r="Q4" s="73">
        <f aca="true" t="shared" si="9" ref="Q4:Q17">IF(G4="","-",O4-P4)</f>
        <v>6</v>
      </c>
      <c r="R4" s="70">
        <f aca="true" t="shared" si="10" ref="R4:R17">IF(G4="","-",VLOOKUP(G4,PC,16,FALSE))</f>
        <v>359</v>
      </c>
      <c r="S4" s="70">
        <f aca="true" t="shared" si="11" ref="S4:S17">IF(G4="","-",VLOOKUP(G4,PC,17,FALSE))</f>
        <v>238</v>
      </c>
      <c r="T4" s="73">
        <f aca="true" t="shared" si="12" ref="T4:T17">IF(G4="","-",R4-S4)</f>
        <v>121</v>
      </c>
      <c r="U4">
        <v>1</v>
      </c>
      <c r="V4" t="str">
        <f>VLOOKUP(H4,Inscriptions!$B$3:$C$11,2,FALSE)</f>
        <v>Corinne - Dimitri - Alain</v>
      </c>
    </row>
    <row r="5" spans="1:22" ht="12.75">
      <c r="A5" s="117"/>
      <c r="B5" s="118"/>
      <c r="C5" s="107" t="str">
        <f>IF('Tirage au sort'!G3="","exempt",'Tirage au sort'!G3)</f>
        <v>Babolat</v>
      </c>
      <c r="D5" t="str">
        <f>VLOOKUP(C5,Inscriptions!$B$3:$C$11,2,FALSE)</f>
        <v>Chloé - Franck - Yann</v>
      </c>
      <c r="E5">
        <v>2</v>
      </c>
      <c r="F5" s="29" t="s">
        <v>112</v>
      </c>
      <c r="G5" s="65">
        <v>2</v>
      </c>
      <c r="H5" s="66" t="str">
        <f t="shared" si="0"/>
        <v>Trump</v>
      </c>
      <c r="I5" s="65">
        <f t="shared" si="1"/>
        <v>8</v>
      </c>
      <c r="J5" s="67">
        <f t="shared" si="2"/>
        <v>20</v>
      </c>
      <c r="K5" s="65">
        <f t="shared" si="3"/>
        <v>6</v>
      </c>
      <c r="L5" s="65">
        <f t="shared" si="4"/>
        <v>0</v>
      </c>
      <c r="M5" s="65">
        <f t="shared" si="5"/>
        <v>0</v>
      </c>
      <c r="N5" s="65">
        <f t="shared" si="6"/>
        <v>2</v>
      </c>
      <c r="O5" s="65">
        <f t="shared" si="7"/>
        <v>6</v>
      </c>
      <c r="P5" s="65">
        <f t="shared" si="8"/>
        <v>2</v>
      </c>
      <c r="Q5" s="68">
        <f t="shared" si="9"/>
        <v>4</v>
      </c>
      <c r="R5" s="65">
        <f t="shared" si="10"/>
        <v>349</v>
      </c>
      <c r="S5" s="65">
        <f t="shared" si="11"/>
        <v>295</v>
      </c>
      <c r="T5" s="68">
        <f t="shared" si="12"/>
        <v>54</v>
      </c>
      <c r="U5">
        <v>2</v>
      </c>
      <c r="V5" t="str">
        <f>VLOOKUP(H5,Inscriptions!$B$3:$C$11,2,FALSE)</f>
        <v>Annie - Christophe - Cédric</v>
      </c>
    </row>
    <row r="6" spans="1:22" ht="12.75">
      <c r="A6" s="117"/>
      <c r="B6" s="118"/>
      <c r="C6" s="107" t="str">
        <f>IF('Tirage au sort'!G4="","exempt",'Tirage au sort'!G4)</f>
        <v>Yonex</v>
      </c>
      <c r="D6" t="str">
        <f>VLOOKUP(C6,Inscriptions!$B$3:$C$11,2,FALSE)</f>
        <v>Virgine - Damien - Mickaël</v>
      </c>
      <c r="E6">
        <v>3</v>
      </c>
      <c r="F6" s="29" t="s">
        <v>111</v>
      </c>
      <c r="G6" s="65">
        <v>3</v>
      </c>
      <c r="H6" s="66" t="str">
        <f t="shared" si="0"/>
        <v>Lining</v>
      </c>
      <c r="I6" s="65">
        <f t="shared" si="1"/>
        <v>8</v>
      </c>
      <c r="J6" s="67">
        <f t="shared" si="2"/>
        <v>20</v>
      </c>
      <c r="K6" s="65">
        <f t="shared" si="3"/>
        <v>6</v>
      </c>
      <c r="L6" s="65">
        <f t="shared" si="4"/>
        <v>0</v>
      </c>
      <c r="M6" s="65">
        <f t="shared" si="5"/>
        <v>0</v>
      </c>
      <c r="N6" s="65">
        <f t="shared" si="6"/>
        <v>2</v>
      </c>
      <c r="O6" s="65">
        <f t="shared" si="7"/>
        <v>6</v>
      </c>
      <c r="P6" s="65">
        <f t="shared" si="8"/>
        <v>2</v>
      </c>
      <c r="Q6" s="68">
        <f t="shared" si="9"/>
        <v>4</v>
      </c>
      <c r="R6" s="65">
        <f t="shared" si="10"/>
        <v>339</v>
      </c>
      <c r="S6" s="65">
        <f t="shared" si="11"/>
        <v>296</v>
      </c>
      <c r="T6" s="68">
        <f t="shared" si="12"/>
        <v>43</v>
      </c>
      <c r="U6">
        <v>3</v>
      </c>
      <c r="V6" t="str">
        <f>VLOOKUP(H6,Inscriptions!$B$3:$C$11,2,FALSE)</f>
        <v>Fatma - Sébastien - Serdal</v>
      </c>
    </row>
    <row r="7" spans="1:22" ht="12.75">
      <c r="A7" s="117"/>
      <c r="B7" s="118"/>
      <c r="C7" s="107" t="str">
        <f>IF('Tirage au sort'!G5="","exempt",'Tirage au sort'!G5)</f>
        <v>Oliver</v>
      </c>
      <c r="D7" t="str">
        <f>VLOOKUP(C7,Inscriptions!$B$3:$C$11,2,FALSE)</f>
        <v>Cathy - Fred - Philippe</v>
      </c>
      <c r="E7">
        <v>4</v>
      </c>
      <c r="F7" s="29" t="s">
        <v>115</v>
      </c>
      <c r="G7" s="65">
        <v>4</v>
      </c>
      <c r="H7" s="66" t="str">
        <f t="shared" si="0"/>
        <v>Babolat</v>
      </c>
      <c r="I7" s="65">
        <f t="shared" si="1"/>
        <v>8</v>
      </c>
      <c r="J7" s="67">
        <f t="shared" si="2"/>
        <v>18</v>
      </c>
      <c r="K7" s="65">
        <f t="shared" si="3"/>
        <v>5</v>
      </c>
      <c r="L7" s="65">
        <f t="shared" si="4"/>
        <v>0</v>
      </c>
      <c r="M7" s="65">
        <f t="shared" si="5"/>
        <v>0</v>
      </c>
      <c r="N7" s="65">
        <f t="shared" si="6"/>
        <v>3</v>
      </c>
      <c r="O7" s="65">
        <f t="shared" si="7"/>
        <v>5</v>
      </c>
      <c r="P7" s="65">
        <f t="shared" si="8"/>
        <v>3</v>
      </c>
      <c r="Q7" s="68">
        <f t="shared" si="9"/>
        <v>2</v>
      </c>
      <c r="R7" s="65">
        <f t="shared" si="10"/>
        <v>342</v>
      </c>
      <c r="S7" s="65">
        <f t="shared" si="11"/>
        <v>307</v>
      </c>
      <c r="T7" s="68">
        <f t="shared" si="12"/>
        <v>35</v>
      </c>
      <c r="U7">
        <v>4</v>
      </c>
      <c r="V7" t="str">
        <f>VLOOKUP(H7,Inscriptions!$B$3:$C$11,2,FALSE)</f>
        <v>Chloé - Franck - Yann</v>
      </c>
    </row>
    <row r="8" spans="1:22" ht="12.75">
      <c r="A8" s="117"/>
      <c r="B8" s="118"/>
      <c r="C8" s="107" t="str">
        <f>IF('Tirage au sort'!G6="","exempt",'Tirage au sort'!G6)</f>
        <v>Wilson</v>
      </c>
      <c r="D8" t="str">
        <f>VLOOKUP(C8,Inscriptions!$B$3:$C$11,2,FALSE)</f>
        <v>Julie - Freddy - Freddy</v>
      </c>
      <c r="E8">
        <v>5</v>
      </c>
      <c r="F8" s="29" t="s">
        <v>116</v>
      </c>
      <c r="G8" s="65">
        <v>5</v>
      </c>
      <c r="H8" s="66" t="str">
        <f t="shared" si="0"/>
        <v>Carlton</v>
      </c>
      <c r="I8" s="65">
        <f t="shared" si="1"/>
        <v>8</v>
      </c>
      <c r="J8" s="67">
        <f t="shared" si="2"/>
        <v>16</v>
      </c>
      <c r="K8" s="65">
        <f t="shared" si="3"/>
        <v>4</v>
      </c>
      <c r="L8" s="65">
        <f t="shared" si="4"/>
        <v>0</v>
      </c>
      <c r="M8" s="65">
        <f t="shared" si="5"/>
        <v>0</v>
      </c>
      <c r="N8" s="65">
        <f t="shared" si="6"/>
        <v>4</v>
      </c>
      <c r="O8" s="65">
        <f t="shared" si="7"/>
        <v>4</v>
      </c>
      <c r="P8" s="65">
        <f t="shared" si="8"/>
        <v>4</v>
      </c>
      <c r="Q8" s="68">
        <f t="shared" si="9"/>
        <v>0</v>
      </c>
      <c r="R8" s="65">
        <f t="shared" si="10"/>
        <v>311</v>
      </c>
      <c r="S8" s="65">
        <f t="shared" si="11"/>
        <v>326</v>
      </c>
      <c r="T8" s="68">
        <f t="shared" si="12"/>
        <v>-15</v>
      </c>
      <c r="U8">
        <v>5</v>
      </c>
      <c r="V8" t="str">
        <f>VLOOKUP(H8,Inscriptions!$B$3:$C$11,2,FALSE)</f>
        <v>Fabienne - Philippe - Charlie</v>
      </c>
    </row>
    <row r="9" spans="1:22" ht="12.75">
      <c r="A9" s="117"/>
      <c r="B9" s="118"/>
      <c r="C9" s="107" t="str">
        <f>IF('Tirage au sort'!G7="","exempt",'Tirage au sort'!G7)</f>
        <v>Forza</v>
      </c>
      <c r="D9" t="str">
        <f>VLOOKUP(C9,Inscriptions!$B$3:$C$11,2,FALSE)</f>
        <v>Corinne - Dimitri - Alain</v>
      </c>
      <c r="E9">
        <v>6</v>
      </c>
      <c r="F9" s="29" t="s">
        <v>119</v>
      </c>
      <c r="G9" s="65">
        <v>6</v>
      </c>
      <c r="H9" s="66" t="str">
        <f t="shared" si="0"/>
        <v>Adidas</v>
      </c>
      <c r="I9" s="65">
        <f t="shared" si="1"/>
        <v>8</v>
      </c>
      <c r="J9" s="67">
        <f t="shared" si="2"/>
        <v>14</v>
      </c>
      <c r="K9" s="65">
        <f t="shared" si="3"/>
        <v>3</v>
      </c>
      <c r="L9" s="65">
        <f t="shared" si="4"/>
        <v>0</v>
      </c>
      <c r="M9" s="65">
        <f t="shared" si="5"/>
        <v>0</v>
      </c>
      <c r="N9" s="65">
        <f t="shared" si="6"/>
        <v>5</v>
      </c>
      <c r="O9" s="65">
        <f t="shared" si="7"/>
        <v>3</v>
      </c>
      <c r="P9" s="65">
        <f t="shared" si="8"/>
        <v>5</v>
      </c>
      <c r="Q9" s="68">
        <f t="shared" si="9"/>
        <v>-2</v>
      </c>
      <c r="R9" s="65">
        <f t="shared" si="10"/>
        <v>317</v>
      </c>
      <c r="S9" s="65">
        <f t="shared" si="11"/>
        <v>331</v>
      </c>
      <c r="T9" s="68">
        <f t="shared" si="12"/>
        <v>-14</v>
      </c>
      <c r="U9">
        <v>6</v>
      </c>
      <c r="V9" t="str">
        <f>VLOOKUP(H9,Inscriptions!$B$3:$C$11,2,FALSE)</f>
        <v>Catarina - Jason - John</v>
      </c>
    </row>
    <row r="10" spans="1:22" ht="12.75">
      <c r="A10" s="117"/>
      <c r="B10" s="118"/>
      <c r="C10" s="107" t="str">
        <f>IF('Tirage au sort'!G8="","exempt",'Tirage au sort'!G8)</f>
        <v>Adidas</v>
      </c>
      <c r="D10" t="str">
        <f>VLOOKUP(C10,Inscriptions!$B$3:$C$11,2,FALSE)</f>
        <v>Catarina - Jason - John</v>
      </c>
      <c r="E10">
        <v>7</v>
      </c>
      <c r="F10" s="29" t="s">
        <v>117</v>
      </c>
      <c r="G10" s="65">
        <v>7</v>
      </c>
      <c r="H10" s="66" t="str">
        <f t="shared" si="0"/>
        <v>Yonex</v>
      </c>
      <c r="I10" s="65">
        <f t="shared" si="1"/>
        <v>8</v>
      </c>
      <c r="J10" s="67">
        <f t="shared" si="2"/>
        <v>14</v>
      </c>
      <c r="K10" s="65">
        <f t="shared" si="3"/>
        <v>3</v>
      </c>
      <c r="L10" s="65">
        <f t="shared" si="4"/>
        <v>0</v>
      </c>
      <c r="M10" s="65">
        <f t="shared" si="5"/>
        <v>0</v>
      </c>
      <c r="N10" s="65">
        <f t="shared" si="6"/>
        <v>5</v>
      </c>
      <c r="O10" s="65">
        <f t="shared" si="7"/>
        <v>3</v>
      </c>
      <c r="P10" s="65">
        <f t="shared" si="8"/>
        <v>5</v>
      </c>
      <c r="Q10" s="68">
        <f t="shared" si="9"/>
        <v>-2</v>
      </c>
      <c r="R10" s="65">
        <f t="shared" si="10"/>
        <v>285</v>
      </c>
      <c r="S10" s="65">
        <f t="shared" si="11"/>
        <v>351</v>
      </c>
      <c r="T10" s="68">
        <f t="shared" si="12"/>
        <v>-66</v>
      </c>
      <c r="U10">
        <v>7</v>
      </c>
      <c r="V10" t="str">
        <f>VLOOKUP(H10,Inscriptions!$B$3:$C$11,2,FALSE)</f>
        <v>Virgine - Damien - Mickaël</v>
      </c>
    </row>
    <row r="11" spans="1:22" ht="12.75">
      <c r="A11" s="117"/>
      <c r="B11" s="118"/>
      <c r="C11" s="107" t="str">
        <f>IF('Tirage au sort'!G9="","exempt",'Tirage au sort'!G9)</f>
        <v>Carlton</v>
      </c>
      <c r="D11" t="str">
        <f>VLOOKUP(C11,Inscriptions!$B$3:$C$11,2,FALSE)</f>
        <v>Fabienne - Philippe - Charlie</v>
      </c>
      <c r="E11">
        <v>8</v>
      </c>
      <c r="F11" s="29" t="s">
        <v>113</v>
      </c>
      <c r="G11" s="65">
        <v>8</v>
      </c>
      <c r="H11" s="66" t="str">
        <f t="shared" si="0"/>
        <v>Wilson</v>
      </c>
      <c r="I11" s="65">
        <f t="shared" si="1"/>
        <v>8</v>
      </c>
      <c r="J11" s="67">
        <f t="shared" si="2"/>
        <v>12</v>
      </c>
      <c r="K11" s="65">
        <f t="shared" si="3"/>
        <v>2</v>
      </c>
      <c r="L11" s="65">
        <f t="shared" si="4"/>
        <v>0</v>
      </c>
      <c r="M11" s="65">
        <f t="shared" si="5"/>
        <v>0</v>
      </c>
      <c r="N11" s="65">
        <f t="shared" si="6"/>
        <v>6</v>
      </c>
      <c r="O11" s="65">
        <f t="shared" si="7"/>
        <v>2</v>
      </c>
      <c r="P11" s="65">
        <f t="shared" si="8"/>
        <v>6</v>
      </c>
      <c r="Q11" s="68">
        <f t="shared" si="9"/>
        <v>-4</v>
      </c>
      <c r="R11" s="65">
        <f t="shared" si="10"/>
        <v>294</v>
      </c>
      <c r="S11" s="65">
        <f t="shared" si="11"/>
        <v>348</v>
      </c>
      <c r="T11" s="68">
        <f t="shared" si="12"/>
        <v>-54</v>
      </c>
      <c r="U11">
        <v>8</v>
      </c>
      <c r="V11" t="str">
        <f>VLOOKUP(H11,Inscriptions!$B$3:$C$11,2,FALSE)</f>
        <v>Julie - Freddy - Freddy</v>
      </c>
    </row>
    <row r="12" spans="1:22" ht="12.75">
      <c r="A12" s="117"/>
      <c r="B12" s="118"/>
      <c r="C12" s="107" t="str">
        <f>IF('Tirage au sort'!G10="","exempt",'Tirage au sort'!G10)</f>
        <v>Trump</v>
      </c>
      <c r="D12" t="str">
        <f>VLOOKUP(C12,Inscriptions!$B$3:$C$11,2,FALSE)</f>
        <v>Annie - Christophe - Cédric</v>
      </c>
      <c r="E12">
        <v>9</v>
      </c>
      <c r="F12" s="29" t="s">
        <v>118</v>
      </c>
      <c r="G12" s="65">
        <v>9</v>
      </c>
      <c r="H12" s="66" t="str">
        <f t="shared" si="0"/>
        <v>Oliver</v>
      </c>
      <c r="I12" s="65">
        <f t="shared" si="1"/>
        <v>8</v>
      </c>
      <c r="J12" s="67">
        <f t="shared" si="2"/>
        <v>8</v>
      </c>
      <c r="K12" s="65">
        <f t="shared" si="3"/>
        <v>0</v>
      </c>
      <c r="L12" s="65">
        <f t="shared" si="4"/>
        <v>0</v>
      </c>
      <c r="M12" s="65">
        <f t="shared" si="5"/>
        <v>0</v>
      </c>
      <c r="N12" s="65">
        <f t="shared" si="6"/>
        <v>8</v>
      </c>
      <c r="O12" s="65">
        <f t="shared" si="7"/>
        <v>0</v>
      </c>
      <c r="P12" s="65">
        <f t="shared" si="8"/>
        <v>8</v>
      </c>
      <c r="Q12" s="68">
        <f t="shared" si="9"/>
        <v>-8</v>
      </c>
      <c r="R12" s="65">
        <f t="shared" si="10"/>
        <v>256</v>
      </c>
      <c r="S12" s="65">
        <f t="shared" si="11"/>
        <v>360</v>
      </c>
      <c r="T12" s="68">
        <f t="shared" si="12"/>
        <v>-104</v>
      </c>
      <c r="U12">
        <v>9</v>
      </c>
      <c r="V12" t="str">
        <f>VLOOKUP(H12,Inscriptions!$B$3:$C$11,2,FALSE)</f>
        <v>Cathy - Fred - Philippe</v>
      </c>
    </row>
    <row r="13" spans="2:20" ht="12.75">
      <c r="B13" s="47"/>
      <c r="E13">
        <v>10</v>
      </c>
      <c r="F13" s="29"/>
      <c r="G13" s="65"/>
      <c r="H13" s="66" t="str">
        <f>IF(G13="","-",VLOOKUP(G13,PC,2,FALSE))</f>
        <v>-</v>
      </c>
      <c r="I13" s="65" t="str">
        <f t="shared" si="1"/>
        <v>-</v>
      </c>
      <c r="J13" s="67" t="str">
        <f t="shared" si="2"/>
        <v>-</v>
      </c>
      <c r="K13" s="65" t="str">
        <f t="shared" si="3"/>
        <v>-</v>
      </c>
      <c r="L13" s="65" t="str">
        <f t="shared" si="4"/>
        <v>-</v>
      </c>
      <c r="M13" s="65" t="str">
        <f t="shared" si="5"/>
        <v>-</v>
      </c>
      <c r="N13" s="65" t="str">
        <f t="shared" si="6"/>
        <v>-</v>
      </c>
      <c r="O13" s="65" t="str">
        <f t="shared" si="7"/>
        <v>-</v>
      </c>
      <c r="P13" s="65" t="str">
        <f t="shared" si="8"/>
        <v>-</v>
      </c>
      <c r="Q13" s="68" t="str">
        <f t="shared" si="9"/>
        <v>-</v>
      </c>
      <c r="R13" s="65" t="str">
        <f t="shared" si="10"/>
        <v>-</v>
      </c>
      <c r="S13" s="65" t="str">
        <f t="shared" si="11"/>
        <v>-</v>
      </c>
      <c r="T13" s="68" t="str">
        <f t="shared" si="12"/>
        <v>-</v>
      </c>
    </row>
    <row r="14" spans="5:20" ht="12.75">
      <c r="E14">
        <v>11</v>
      </c>
      <c r="F14" s="74"/>
      <c r="G14" s="65"/>
      <c r="H14" s="66" t="str">
        <f t="shared" si="0"/>
        <v>-</v>
      </c>
      <c r="I14" s="65" t="str">
        <f t="shared" si="1"/>
        <v>-</v>
      </c>
      <c r="J14" s="67" t="str">
        <f t="shared" si="2"/>
        <v>-</v>
      </c>
      <c r="K14" s="65" t="str">
        <f t="shared" si="3"/>
        <v>-</v>
      </c>
      <c r="L14" s="65" t="str">
        <f t="shared" si="4"/>
        <v>-</v>
      </c>
      <c r="M14" s="65" t="str">
        <f t="shared" si="5"/>
        <v>-</v>
      </c>
      <c r="N14" s="65" t="str">
        <f t="shared" si="6"/>
        <v>-</v>
      </c>
      <c r="O14" s="65" t="str">
        <f t="shared" si="7"/>
        <v>-</v>
      </c>
      <c r="P14" s="65" t="str">
        <f t="shared" si="8"/>
        <v>-</v>
      </c>
      <c r="Q14" s="68" t="str">
        <f t="shared" si="9"/>
        <v>-</v>
      </c>
      <c r="R14" s="65" t="str">
        <f t="shared" si="10"/>
        <v>-</v>
      </c>
      <c r="S14" s="65" t="str">
        <f t="shared" si="11"/>
        <v>-</v>
      </c>
      <c r="T14" s="68" t="str">
        <f t="shared" si="12"/>
        <v>-</v>
      </c>
    </row>
    <row r="15" spans="5:20" ht="12.75">
      <c r="E15">
        <v>12</v>
      </c>
      <c r="F15" s="74"/>
      <c r="G15" s="65"/>
      <c r="H15" s="66" t="str">
        <f t="shared" si="0"/>
        <v>-</v>
      </c>
      <c r="I15" s="65" t="str">
        <f t="shared" si="1"/>
        <v>-</v>
      </c>
      <c r="J15" s="67" t="str">
        <f t="shared" si="2"/>
        <v>-</v>
      </c>
      <c r="K15" s="65" t="str">
        <f t="shared" si="3"/>
        <v>-</v>
      </c>
      <c r="L15" s="65" t="str">
        <f t="shared" si="4"/>
        <v>-</v>
      </c>
      <c r="M15" s="65" t="str">
        <f t="shared" si="5"/>
        <v>-</v>
      </c>
      <c r="N15" s="65" t="str">
        <f t="shared" si="6"/>
        <v>-</v>
      </c>
      <c r="O15" s="65" t="str">
        <f t="shared" si="7"/>
        <v>-</v>
      </c>
      <c r="P15" s="65" t="str">
        <f t="shared" si="8"/>
        <v>-</v>
      </c>
      <c r="Q15" s="68" t="str">
        <f t="shared" si="9"/>
        <v>-</v>
      </c>
      <c r="R15" s="65" t="str">
        <f t="shared" si="10"/>
        <v>-</v>
      </c>
      <c r="S15" s="65" t="str">
        <f t="shared" si="11"/>
        <v>-</v>
      </c>
      <c r="T15" s="68" t="str">
        <f t="shared" si="12"/>
        <v>-</v>
      </c>
    </row>
    <row r="16" spans="5:20" ht="12.75">
      <c r="E16">
        <v>13</v>
      </c>
      <c r="G16" s="65"/>
      <c r="H16" s="66" t="str">
        <f t="shared" si="0"/>
        <v>-</v>
      </c>
      <c r="I16" s="65" t="str">
        <f t="shared" si="1"/>
        <v>-</v>
      </c>
      <c r="J16" s="67" t="str">
        <f t="shared" si="2"/>
        <v>-</v>
      </c>
      <c r="K16" s="65" t="str">
        <f t="shared" si="3"/>
        <v>-</v>
      </c>
      <c r="L16" s="65" t="str">
        <f t="shared" si="4"/>
        <v>-</v>
      </c>
      <c r="M16" s="65" t="str">
        <f t="shared" si="5"/>
        <v>-</v>
      </c>
      <c r="N16" s="65" t="str">
        <f t="shared" si="6"/>
        <v>-</v>
      </c>
      <c r="O16" s="65" t="str">
        <f t="shared" si="7"/>
        <v>-</v>
      </c>
      <c r="P16" s="65" t="str">
        <f t="shared" si="8"/>
        <v>-</v>
      </c>
      <c r="Q16" s="68" t="str">
        <f t="shared" si="9"/>
        <v>-</v>
      </c>
      <c r="R16" s="65" t="str">
        <f t="shared" si="10"/>
        <v>-</v>
      </c>
      <c r="S16" s="65" t="str">
        <f t="shared" si="11"/>
        <v>-</v>
      </c>
      <c r="T16" s="68" t="str">
        <f t="shared" si="12"/>
        <v>-</v>
      </c>
    </row>
    <row r="17" spans="5:20" ht="12.75">
      <c r="E17">
        <v>14</v>
      </c>
      <c r="G17" s="65"/>
      <c r="H17" s="66" t="str">
        <f t="shared" si="0"/>
        <v>-</v>
      </c>
      <c r="I17" s="65" t="str">
        <f t="shared" si="1"/>
        <v>-</v>
      </c>
      <c r="J17" s="67" t="str">
        <f t="shared" si="2"/>
        <v>-</v>
      </c>
      <c r="K17" s="65" t="str">
        <f t="shared" si="3"/>
        <v>-</v>
      </c>
      <c r="L17" s="65" t="str">
        <f t="shared" si="4"/>
        <v>-</v>
      </c>
      <c r="M17" s="65" t="str">
        <f t="shared" si="5"/>
        <v>-</v>
      </c>
      <c r="N17" s="65" t="str">
        <f t="shared" si="6"/>
        <v>-</v>
      </c>
      <c r="O17" s="65" t="str">
        <f t="shared" si="7"/>
        <v>-</v>
      </c>
      <c r="P17" s="65" t="str">
        <f t="shared" si="8"/>
        <v>-</v>
      </c>
      <c r="Q17" s="68" t="str">
        <f t="shared" si="9"/>
        <v>-</v>
      </c>
      <c r="R17" s="65" t="str">
        <f t="shared" si="10"/>
        <v>-</v>
      </c>
      <c r="S17" s="65" t="str">
        <f t="shared" si="11"/>
        <v>-</v>
      </c>
      <c r="T17" s="68" t="str">
        <f t="shared" si="12"/>
        <v>-</v>
      </c>
    </row>
    <row r="18" spans="9:16" ht="12.75">
      <c r="I18" s="26"/>
      <c r="J18" s="26"/>
      <c r="K18" s="26"/>
      <c r="L18" s="26"/>
      <c r="M18" s="26"/>
      <c r="N18" s="26"/>
      <c r="O18" s="48"/>
      <c r="P18" s="48"/>
    </row>
    <row r="19" spans="8:44" ht="12.75">
      <c r="H19" s="50" t="s">
        <v>62</v>
      </c>
      <c r="I19" s="49">
        <v>0</v>
      </c>
      <c r="J19" s="30" t="s">
        <v>63</v>
      </c>
      <c r="K19" s="26"/>
      <c r="L19" s="26"/>
      <c r="M19" s="26"/>
      <c r="N19" s="26"/>
      <c r="O19" s="48"/>
      <c r="P19" s="48"/>
      <c r="AQ19" t="s">
        <v>53</v>
      </c>
      <c r="AR19" t="s">
        <v>54</v>
      </c>
    </row>
    <row r="20" spans="9:54" ht="12.75">
      <c r="I20" s="26"/>
      <c r="J20" s="26"/>
      <c r="K20" s="26"/>
      <c r="L20" s="26"/>
      <c r="M20" s="26"/>
      <c r="N20" s="26"/>
      <c r="O20" s="48"/>
      <c r="P20" s="48"/>
      <c r="AP20" t="s">
        <v>52</v>
      </c>
      <c r="AQ20" t="s">
        <v>39</v>
      </c>
      <c r="AR20" t="s">
        <v>40</v>
      </c>
      <c r="AS20" t="s">
        <v>51</v>
      </c>
      <c r="AY20" s="50" t="s">
        <v>47</v>
      </c>
      <c r="AZ20" s="29">
        <f>tri</f>
        <v>1</v>
      </c>
      <c r="BA20" t="s">
        <v>48</v>
      </c>
      <c r="BB20" t="s">
        <v>49</v>
      </c>
    </row>
    <row r="21" spans="1:56" ht="12.75">
      <c r="A21" s="47"/>
      <c r="B21" s="77" t="s">
        <v>68</v>
      </c>
      <c r="C21" s="77" t="s">
        <v>74</v>
      </c>
      <c r="H21" s="10"/>
      <c r="I21" s="27" t="s">
        <v>8</v>
      </c>
      <c r="J21" s="25"/>
      <c r="K21" s="28" t="s">
        <v>144</v>
      </c>
      <c r="L21" s="20"/>
      <c r="M21" s="20"/>
      <c r="N21" s="20"/>
      <c r="O21" s="20"/>
      <c r="P21" s="25"/>
      <c r="Q21" s="27" t="s">
        <v>34</v>
      </c>
      <c r="R21" s="20"/>
      <c r="AG21" s="51"/>
      <c r="AH21" s="51"/>
      <c r="AI21" s="112" t="s">
        <v>16</v>
      </c>
      <c r="AJ21" s="112"/>
      <c r="AK21" s="112"/>
      <c r="AL21" s="112" t="s">
        <v>17</v>
      </c>
      <c r="AM21" s="112"/>
      <c r="AN21" s="52" t="s">
        <v>9</v>
      </c>
      <c r="AO21" s="52" t="s">
        <v>10</v>
      </c>
      <c r="AP21" s="3" t="s">
        <v>3</v>
      </c>
      <c r="AQ21" s="3" t="s">
        <v>44</v>
      </c>
      <c r="AR21" s="3" t="s">
        <v>45</v>
      </c>
      <c r="AS21" s="3" t="s">
        <v>4</v>
      </c>
      <c r="AT21" s="3" t="s">
        <v>18</v>
      </c>
      <c r="AU21" s="3" t="s">
        <v>19</v>
      </c>
      <c r="AV21" s="3" t="s">
        <v>11</v>
      </c>
      <c r="AW21" s="3" t="s">
        <v>12</v>
      </c>
      <c r="AX21" s="3" t="s">
        <v>13</v>
      </c>
      <c r="AY21" s="3" t="s">
        <v>28</v>
      </c>
      <c r="AZ21" s="3" t="s">
        <v>29</v>
      </c>
      <c r="BA21" s="3" t="s">
        <v>14</v>
      </c>
      <c r="BB21" s="3" t="s">
        <v>15</v>
      </c>
      <c r="BC21" s="3" t="s">
        <v>35</v>
      </c>
      <c r="BD21" s="3" t="s">
        <v>36</v>
      </c>
    </row>
    <row r="22" spans="8:56" ht="12.75">
      <c r="H22" s="10"/>
      <c r="I22" s="20"/>
      <c r="J22" s="25"/>
      <c r="K22" s="108" t="s">
        <v>31</v>
      </c>
      <c r="L22" s="53"/>
      <c r="M22" s="24" t="s">
        <v>32</v>
      </c>
      <c r="N22" s="53"/>
      <c r="O22" s="24" t="s">
        <v>33</v>
      </c>
      <c r="P22" s="53"/>
      <c r="Q22" s="20" t="s">
        <v>0</v>
      </c>
      <c r="R22" s="20" t="s">
        <v>1</v>
      </c>
      <c r="AG22" s="54"/>
      <c r="AH22" s="54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26"/>
      <c r="BD22" s="26"/>
    </row>
    <row r="23" spans="2:56" ht="12.75">
      <c r="B23" s="29" t="s">
        <v>75</v>
      </c>
      <c r="C23" s="84" t="s">
        <v>0</v>
      </c>
      <c r="D23" s="80">
        <v>2</v>
      </c>
      <c r="E23" s="81">
        <v>9</v>
      </c>
      <c r="F23" s="7" t="str">
        <f>VLOOKUP(D23,E$3:F$17,2)</f>
        <v>Babolat</v>
      </c>
      <c r="G23" s="56" t="s">
        <v>30</v>
      </c>
      <c r="H23" s="10" t="str">
        <f>VLOOKUP(E23,E$3:F$17,2)</f>
        <v>Trump</v>
      </c>
      <c r="I23" s="20">
        <f aca="true" t="shared" si="13" ref="I23:I39">IF(K23="","",IF(K23&gt;L23,IF(M23&gt;N23,2,IF(O23&gt;P23,2,1)),IF(M23&gt;N23,IF(O23&gt;P23,2,1),0)))</f>
        <v>0</v>
      </c>
      <c r="J23" s="25">
        <f aca="true" t="shared" si="14" ref="J23:J39">IF(L23="","",IF(K23&lt;L23,IF(M23&lt;N23,2,IF(O23&lt;P23,2,1)),IF(M23&lt;N23,IF(O23&lt;P23,2,1),0)))</f>
        <v>1</v>
      </c>
      <c r="K23" s="26">
        <v>41</v>
      </c>
      <c r="L23" s="57">
        <v>45</v>
      </c>
      <c r="O23" s="58"/>
      <c r="P23" s="59"/>
      <c r="Q23" s="21">
        <f aca="true" t="shared" si="15" ref="Q23:Q40">IF(K23="","",K23+M23+O23)</f>
        <v>41</v>
      </c>
      <c r="R23" s="21">
        <f aca="true" t="shared" si="16" ref="R23:R40">IF(L23="","",L23+N23+P23)</f>
        <v>45</v>
      </c>
      <c r="AG23" s="23" t="str">
        <f>IF(I23="F",F23&amp;"_forfait",IF(J23="F",F23&amp;"_win",IF(AND(I23="",J23=""),"",IF(I23&gt;J23,IF(J23=1,F23&amp;"_forfait",F23&amp;"_win"),IF(I23=1,F23&amp;"_draw",F23&amp;"_lose")))))</f>
        <v>Babolat_lose</v>
      </c>
      <c r="AH23" s="23" t="str">
        <f>IF(AG23="","",IF(J23="",H23&amp;"_win",IF(J23="F",H23&amp;"_forfait",IF(I23&lt;J23,IF(I23=0,H23&amp;"_win",H23&amp;"_forfait"),IF(J23=1,H23&amp;"_draw",H23&amp;"_lose")))))</f>
        <v>Trump_win</v>
      </c>
      <c r="AI23" s="55">
        <f>IF(tri=0,IF(VLOOKUP(F23,$AO$23:$AW$36,9,FALSE)=VLOOKUP(H23,$AO$23:$AW$36,9,FALSE),VLOOKUP(F23,$AO$23:$AW$36,9,FALSE),0),IF(VLOOKUP(F23,$AO$23:$AW$36,9,FALSE)*100+VLOOKUP(F23,$AO$23:$AW$36,6,FALSE)=VLOOKUP(H23,$AO$23:$AW$36,9,FALSE)*100+VLOOKUP(H23,$AO$23:$AW$36,6,FALSE),VLOOKUP(F23,$AO$23:$AW$36,9,FALSE),0))</f>
        <v>0</v>
      </c>
      <c r="AJ23" s="55">
        <f aca="true" t="shared" si="17" ref="AJ23:AJ40">IF(AG23="","",IF(VLOOKUP(F23,$AO$23:$AW$36,8,FALSE)=VLOOKUP(H23,$AO$23:$AW$36,8,FALSE),IF(J23="F",3,IF(I23="F",0,IF(I23&gt;J23,3,IF(I23&lt;J23,1,2)))),""))</f>
      </c>
      <c r="AK23" s="55">
        <f aca="true" t="shared" si="18" ref="AK23:AK40">IF(AJ23="","",IF(I23="F",3,IF(J23="F",0,IF(J23&gt;I23,3,IF(J23&lt;I23,1,2)))))</f>
      </c>
      <c r="AL23" s="2">
        <f aca="true" t="shared" si="19" ref="AL23:AL40">IF(OR(I23="",J23=""),0,IF(J23="F",AI23*4,IF(I23="F",AI23*-4,AI23*(I23-J23))))</f>
        <v>0</v>
      </c>
      <c r="AM23" s="55">
        <f aca="true" t="shared" si="20" ref="AM23:AM50">-AL23</f>
        <v>0</v>
      </c>
      <c r="AN23" s="55">
        <f aca="true" t="shared" si="21" ref="AN23:AN36">COUNTIF(AZ$23:AZ$36,CONCATENATE("&gt;=",AZ23))</f>
        <v>3</v>
      </c>
      <c r="AO23" s="55" t="str">
        <f aca="true" t="shared" si="22" ref="AO23:AO36">F4</f>
        <v>Lining</v>
      </c>
      <c r="AP23" s="55">
        <f>COUNTIF($AG$23:$AH$67,"="&amp;AO23&amp;"_win")</f>
        <v>6</v>
      </c>
      <c r="AQ23" s="55">
        <f>COUNTIF($AG$23:$AH$67,"="&amp;AO23&amp;"_draw")</f>
        <v>0</v>
      </c>
      <c r="AR23" s="55">
        <f>COUNTIF($AG$23:$AH$67,"="&amp;AO23&amp;"_lose")</f>
        <v>2</v>
      </c>
      <c r="AS23" s="55">
        <f>COUNTIF($AG$23:$AH$67,"="&amp;AO23&amp;"_forfait")</f>
        <v>0</v>
      </c>
      <c r="AT23" s="55">
        <f>SUMIF(PJ1,AO23,PS1)+SUMIF(PJ2,AO23,PS2)</f>
        <v>6</v>
      </c>
      <c r="AU23" s="55">
        <f aca="true" t="shared" si="23" ref="AU23:AU36">SUMIF(PJ1,AO23,PS2)+SUMIF(PJ2,AO23,PS1)</f>
        <v>2</v>
      </c>
      <c r="AV23" s="55">
        <f aca="true" t="shared" si="24" ref="AV23:AV36">(BC23-BD23)+AW23*10000+AT23*100</f>
        <v>200643</v>
      </c>
      <c r="AW23" s="55">
        <f aca="true" t="shared" si="25" ref="AW23:AW36">AP23*gag+AQ23*pas+AR23*pss+AS23*gas</f>
        <v>20</v>
      </c>
      <c r="AX23" s="55">
        <f aca="true" t="shared" si="26" ref="AX23:AX36">IF(tri=0,BA23,BB23)</f>
        <v>0</v>
      </c>
      <c r="AY23" s="55">
        <f>1/100000</f>
        <v>1E-05</v>
      </c>
      <c r="AZ23" s="55">
        <f aca="true" t="shared" si="27" ref="AZ23:AZ36">1000*AW23/AW$37+10^(1+tri)*(AV23-AV$38)/AV$37+10^(tri)*AT23/AT$37+0.01*(BC23/BC$37)+100^(1-tri)*AX23/AX$37+AY23</f>
        <v>967.9596941920969</v>
      </c>
      <c r="BA23" s="55">
        <f>SUMIF($F$23:$F$67,AO23,$AL$23:$AL$67)+SUMIF($H$23:$H$67,AO23,$AM$23:$AM$67)</f>
        <v>-20</v>
      </c>
      <c r="BB23" s="55">
        <f>SUMIF($F$23:$F$67,AO23,$AJ$23:$AJ$67)+SUMIF($H$23:$H$67,AO23,$AK$23:$AK$67)</f>
        <v>0</v>
      </c>
      <c r="BC23" s="26">
        <f aca="true" t="shared" si="28" ref="BC23:BC36">SUMIF(PJ1,AO23,PP1)+SUMIF(PJ2,AO23,PP2)</f>
        <v>339</v>
      </c>
      <c r="BD23" s="26">
        <f aca="true" t="shared" si="29" ref="BD23:BD36">SUMIF(PJ1,AO23,PP2)+SUMIF(PJ2,AO23,PP1)</f>
        <v>296</v>
      </c>
    </row>
    <row r="24" spans="2:56" ht="12.75">
      <c r="B24" s="29" t="s">
        <v>76</v>
      </c>
      <c r="D24" s="80">
        <v>3</v>
      </c>
      <c r="E24" s="81">
        <v>8</v>
      </c>
      <c r="F24" s="7" t="str">
        <f aca="true" t="shared" si="30" ref="F24:F58">VLOOKUP(D24,E$3:F$17,2)</f>
        <v>Yonex</v>
      </c>
      <c r="G24" s="56" t="s">
        <v>30</v>
      </c>
      <c r="H24" s="10" t="str">
        <f aca="true" t="shared" si="31" ref="H24:H58">VLOOKUP(E24,E$3:F$17,2)</f>
        <v>Carlton</v>
      </c>
      <c r="I24" s="20">
        <f t="shared" si="13"/>
        <v>0</v>
      </c>
      <c r="J24" s="25">
        <f t="shared" si="14"/>
        <v>1</v>
      </c>
      <c r="K24" s="48">
        <v>43</v>
      </c>
      <c r="L24" s="59">
        <v>45</v>
      </c>
      <c r="O24" s="58"/>
      <c r="P24" s="59"/>
      <c r="Q24" s="21">
        <f t="shared" si="15"/>
        <v>43</v>
      </c>
      <c r="R24" s="21">
        <f t="shared" si="16"/>
        <v>45</v>
      </c>
      <c r="AG24" s="23" t="str">
        <f aca="true" t="shared" si="32" ref="AG24:AG67">IF(I24="F",F24&amp;"_forfait",IF(J24="F",F24&amp;"_win",IF(AND(I24="",J24=""),"",IF(I24&gt;J24,IF(J24=1,F24&amp;"_forfait",F24&amp;"_win"),IF(I24=1,F24&amp;"_draw",F24&amp;"_lose")))))</f>
        <v>Yonex_lose</v>
      </c>
      <c r="AH24" s="23" t="str">
        <f aca="true" t="shared" si="33" ref="AH24:AH67">IF(AG24="","",IF(J24="",H24&amp;"_win",IF(J24="F",H24&amp;"_forfait",IF(I24&lt;J24,IF(I24=0,H24&amp;"_win",H24&amp;"_forfait"),IF(J24=1,H24&amp;"_draw",H24&amp;"_lose")))))</f>
        <v>Carlton_win</v>
      </c>
      <c r="AI24" s="55">
        <f aca="true" t="shared" si="34" ref="AI24:AI50">IF(tri=0,IF(VLOOKUP(F24,$AO$23:$AW$36,9,FALSE)=VLOOKUP(H24,$AO$23:$AW$36,9,FALSE),VLOOKUP(F24,$AO$23:$AW$36,9,FALSE),0),IF(VLOOKUP(F24,$AO$23:$AW$36,9,FALSE)*100+VLOOKUP(F24,$AO$23:$AW$36,6,FALSE)=VLOOKUP(H24,$AO$23:$AW$36,9,FALSE)*100+VLOOKUP(H24,$AO$23:$AW$36,6,FALSE),VLOOKUP(F24,$AO$23:$AW$36,9,FALSE),0))</f>
        <v>0</v>
      </c>
      <c r="AJ24" s="55">
        <f t="shared" si="17"/>
      </c>
      <c r="AK24" s="55">
        <f t="shared" si="18"/>
      </c>
      <c r="AL24" s="2">
        <f t="shared" si="19"/>
        <v>0</v>
      </c>
      <c r="AM24" s="55">
        <f t="shared" si="20"/>
        <v>0</v>
      </c>
      <c r="AN24" s="55">
        <f t="shared" si="21"/>
        <v>4</v>
      </c>
      <c r="AO24" s="55" t="str">
        <f t="shared" si="22"/>
        <v>Babolat</v>
      </c>
      <c r="AP24" s="55">
        <f aca="true" t="shared" si="35" ref="AP24:AP36">COUNTIF($AG$23:$AH$67,"="&amp;AO24&amp;"_win")</f>
        <v>5</v>
      </c>
      <c r="AQ24" s="55">
        <f aca="true" t="shared" si="36" ref="AQ24:AQ36">COUNTIF($AG$23:$AH$67,"="&amp;AO24&amp;"_draw")</f>
        <v>0</v>
      </c>
      <c r="AR24" s="55">
        <f aca="true" t="shared" si="37" ref="AR24:AR36">COUNTIF($AG$23:$AH$67,"="&amp;AO24&amp;"_lose")</f>
        <v>3</v>
      </c>
      <c r="AS24" s="55">
        <f aca="true" t="shared" si="38" ref="AS24:AS36">COUNTIF($AG$23:$AH$67,"="&amp;AO24&amp;"_forfait")</f>
        <v>0</v>
      </c>
      <c r="AT24" s="55">
        <f aca="true" t="shared" si="39" ref="AT24:AT36">SUMIF(PJ1,AO24,PS1)+SUMIF(PJ2,AO24,PS2)</f>
        <v>5</v>
      </c>
      <c r="AU24" s="55">
        <f t="shared" si="23"/>
        <v>3</v>
      </c>
      <c r="AV24" s="55">
        <f t="shared" si="24"/>
        <v>180535</v>
      </c>
      <c r="AW24" s="55">
        <f t="shared" si="25"/>
        <v>18</v>
      </c>
      <c r="AX24" s="55">
        <f t="shared" si="26"/>
        <v>0</v>
      </c>
      <c r="AY24" s="55">
        <f aca="true" t="shared" si="40" ref="AY24:AY36">AY23/2</f>
        <v>5E-06</v>
      </c>
      <c r="AZ24" s="55">
        <f t="shared" si="27"/>
        <v>870.647479154943</v>
      </c>
      <c r="BA24" s="55">
        <f aca="true" t="shared" si="41" ref="BA24:BA36">SUMIF($F$23:$F$67,AO24,$AL$23:$AL$67)+SUMIF($H$23:$H$67,AO24,$AM$23:$AM$67)</f>
        <v>0</v>
      </c>
      <c r="BB24" s="55">
        <f aca="true" t="shared" si="42" ref="BB24:BB36">SUMIF($F$23:$F$67,AO24,$AJ$23:$AJ$67)+SUMIF($H$23:$H$67,AO24,$AK$23:$AK$67)</f>
        <v>0</v>
      </c>
      <c r="BC24" s="26">
        <f t="shared" si="28"/>
        <v>342</v>
      </c>
      <c r="BD24" s="26">
        <f t="shared" si="29"/>
        <v>307</v>
      </c>
    </row>
    <row r="25" spans="2:56" ht="12.75">
      <c r="B25" s="29" t="s">
        <v>77</v>
      </c>
      <c r="D25" s="80">
        <v>4</v>
      </c>
      <c r="E25" s="81">
        <v>7</v>
      </c>
      <c r="F25" s="7" t="str">
        <f t="shared" si="30"/>
        <v>Oliver</v>
      </c>
      <c r="G25" s="56" t="s">
        <v>30</v>
      </c>
      <c r="H25" s="10" t="str">
        <f t="shared" si="31"/>
        <v>Adidas</v>
      </c>
      <c r="I25" s="20">
        <f t="shared" si="13"/>
        <v>0</v>
      </c>
      <c r="J25" s="20">
        <f t="shared" si="14"/>
        <v>1</v>
      </c>
      <c r="K25" s="63">
        <v>28</v>
      </c>
      <c r="L25" s="48">
        <v>45</v>
      </c>
      <c r="M25" s="62"/>
      <c r="O25" s="58"/>
      <c r="P25" s="59"/>
      <c r="Q25" s="21">
        <f t="shared" si="15"/>
        <v>28</v>
      </c>
      <c r="R25" s="21">
        <f t="shared" si="16"/>
        <v>45</v>
      </c>
      <c r="AG25" s="23" t="str">
        <f t="shared" si="32"/>
        <v>Oliver_lose</v>
      </c>
      <c r="AH25" s="23" t="str">
        <f t="shared" si="33"/>
        <v>Adidas_win</v>
      </c>
      <c r="AI25" s="55">
        <f t="shared" si="34"/>
        <v>0</v>
      </c>
      <c r="AJ25" s="55">
        <f t="shared" si="17"/>
      </c>
      <c r="AK25" s="55">
        <f t="shared" si="18"/>
      </c>
      <c r="AL25" s="2">
        <f t="shared" si="19"/>
        <v>0</v>
      </c>
      <c r="AM25" s="55">
        <f t="shared" si="20"/>
        <v>0</v>
      </c>
      <c r="AN25" s="55">
        <f t="shared" si="21"/>
        <v>7</v>
      </c>
      <c r="AO25" s="55" t="str">
        <f t="shared" si="22"/>
        <v>Yonex</v>
      </c>
      <c r="AP25" s="55">
        <f t="shared" si="35"/>
        <v>3</v>
      </c>
      <c r="AQ25" s="55">
        <f t="shared" si="36"/>
        <v>0</v>
      </c>
      <c r="AR25" s="55">
        <f t="shared" si="37"/>
        <v>5</v>
      </c>
      <c r="AS25" s="55">
        <f t="shared" si="38"/>
        <v>0</v>
      </c>
      <c r="AT25" s="55">
        <f t="shared" si="39"/>
        <v>3</v>
      </c>
      <c r="AU25" s="55">
        <f t="shared" si="23"/>
        <v>5</v>
      </c>
      <c r="AV25" s="55">
        <f t="shared" si="24"/>
        <v>140234</v>
      </c>
      <c r="AW25" s="55">
        <f t="shared" si="25"/>
        <v>14</v>
      </c>
      <c r="AX25" s="55">
        <f t="shared" si="26"/>
        <v>0</v>
      </c>
      <c r="AY25" s="55">
        <f t="shared" si="40"/>
        <v>2.5E-06</v>
      </c>
      <c r="AZ25" s="55">
        <f t="shared" si="27"/>
        <v>675.9785063468233</v>
      </c>
      <c r="BA25" s="55">
        <f t="shared" si="41"/>
        <v>14</v>
      </c>
      <c r="BB25" s="55">
        <f t="shared" si="42"/>
        <v>0</v>
      </c>
      <c r="BC25" s="26">
        <f t="shared" si="28"/>
        <v>285</v>
      </c>
      <c r="BD25" s="26">
        <f t="shared" si="29"/>
        <v>351</v>
      </c>
    </row>
    <row r="26" spans="2:56" ht="12.75">
      <c r="B26" s="92" t="s">
        <v>78</v>
      </c>
      <c r="C26" s="92"/>
      <c r="D26" s="95">
        <v>5</v>
      </c>
      <c r="E26" s="96">
        <v>6</v>
      </c>
      <c r="F26" s="18" t="str">
        <f t="shared" si="30"/>
        <v>Wilson</v>
      </c>
      <c r="G26" s="97" t="s">
        <v>30</v>
      </c>
      <c r="H26" s="9" t="str">
        <f t="shared" si="31"/>
        <v>Forza</v>
      </c>
      <c r="I26" s="90">
        <f t="shared" si="13"/>
        <v>0</v>
      </c>
      <c r="J26" s="98">
        <f t="shared" si="14"/>
        <v>1</v>
      </c>
      <c r="K26" s="99">
        <v>21</v>
      </c>
      <c r="L26" s="100">
        <v>45</v>
      </c>
      <c r="M26" s="109"/>
      <c r="N26" s="110"/>
      <c r="O26" s="111"/>
      <c r="P26" s="100"/>
      <c r="Q26" s="91">
        <f t="shared" si="15"/>
        <v>21</v>
      </c>
      <c r="R26" s="91">
        <f t="shared" si="16"/>
        <v>45</v>
      </c>
      <c r="AG26" s="23" t="str">
        <f t="shared" si="32"/>
        <v>Wilson_lose</v>
      </c>
      <c r="AH26" s="23" t="str">
        <f t="shared" si="33"/>
        <v>Forza_win</v>
      </c>
      <c r="AI26" s="55">
        <f t="shared" si="34"/>
        <v>0</v>
      </c>
      <c r="AJ26" s="55">
        <f t="shared" si="17"/>
      </c>
      <c r="AK26" s="55">
        <f t="shared" si="18"/>
      </c>
      <c r="AL26" s="2">
        <f t="shared" si="19"/>
        <v>0</v>
      </c>
      <c r="AM26" s="55">
        <f t="shared" si="20"/>
        <v>0</v>
      </c>
      <c r="AN26" s="55">
        <f t="shared" si="21"/>
        <v>9</v>
      </c>
      <c r="AO26" s="55" t="str">
        <f t="shared" si="22"/>
        <v>Oliver</v>
      </c>
      <c r="AP26" s="55">
        <f t="shared" si="35"/>
        <v>0</v>
      </c>
      <c r="AQ26" s="55">
        <f t="shared" si="36"/>
        <v>0</v>
      </c>
      <c r="AR26" s="55">
        <f t="shared" si="37"/>
        <v>8</v>
      </c>
      <c r="AS26" s="55">
        <f t="shared" si="38"/>
        <v>0</v>
      </c>
      <c r="AT26" s="55">
        <f t="shared" si="39"/>
        <v>0</v>
      </c>
      <c r="AU26" s="55">
        <f t="shared" si="23"/>
        <v>8</v>
      </c>
      <c r="AV26" s="55">
        <f t="shared" si="24"/>
        <v>79896</v>
      </c>
      <c r="AW26" s="55">
        <f t="shared" si="25"/>
        <v>8</v>
      </c>
      <c r="AX26" s="55">
        <f t="shared" si="26"/>
        <v>0</v>
      </c>
      <c r="AY26" s="55">
        <f t="shared" si="40"/>
        <v>1.25E-06</v>
      </c>
      <c r="AZ26" s="55">
        <f t="shared" si="27"/>
        <v>384.0318811911951</v>
      </c>
      <c r="BA26" s="55">
        <f t="shared" si="41"/>
        <v>0</v>
      </c>
      <c r="BB26" s="55">
        <f t="shared" si="42"/>
        <v>0</v>
      </c>
      <c r="BC26" s="26">
        <f t="shared" si="28"/>
        <v>256</v>
      </c>
      <c r="BD26" s="26">
        <f t="shared" si="29"/>
        <v>360</v>
      </c>
    </row>
    <row r="27" spans="2:56" ht="12.75">
      <c r="B27" s="29" t="s">
        <v>75</v>
      </c>
      <c r="C27" s="85" t="s">
        <v>1</v>
      </c>
      <c r="D27" s="78">
        <v>3</v>
      </c>
      <c r="E27" s="79">
        <v>1</v>
      </c>
      <c r="F27" s="7" t="str">
        <f t="shared" si="30"/>
        <v>Yonex</v>
      </c>
      <c r="G27" s="56" t="s">
        <v>30</v>
      </c>
      <c r="H27" s="10" t="str">
        <f t="shared" si="31"/>
        <v>Lining</v>
      </c>
      <c r="I27" s="20">
        <f t="shared" si="13"/>
        <v>0</v>
      </c>
      <c r="J27" s="25">
        <f t="shared" si="14"/>
        <v>1</v>
      </c>
      <c r="K27" s="48">
        <v>26</v>
      </c>
      <c r="L27" s="59">
        <v>45</v>
      </c>
      <c r="O27" s="58"/>
      <c r="P27" s="59"/>
      <c r="Q27" s="21">
        <f t="shared" si="15"/>
        <v>26</v>
      </c>
      <c r="R27" s="21">
        <f t="shared" si="16"/>
        <v>45</v>
      </c>
      <c r="AG27" s="23" t="str">
        <f t="shared" si="32"/>
        <v>Yonex_lose</v>
      </c>
      <c r="AH27" s="23" t="str">
        <f t="shared" si="33"/>
        <v>Lining_win</v>
      </c>
      <c r="AI27" s="55">
        <f t="shared" si="34"/>
        <v>0</v>
      </c>
      <c r="AJ27" s="55">
        <f t="shared" si="17"/>
      </c>
      <c r="AK27" s="55">
        <f t="shared" si="18"/>
      </c>
      <c r="AL27" s="2">
        <f t="shared" si="19"/>
        <v>0</v>
      </c>
      <c r="AM27" s="55">
        <f t="shared" si="20"/>
        <v>0</v>
      </c>
      <c r="AN27" s="55">
        <f t="shared" si="21"/>
        <v>8</v>
      </c>
      <c r="AO27" s="55" t="str">
        <f t="shared" si="22"/>
        <v>Wilson</v>
      </c>
      <c r="AP27" s="55">
        <f t="shared" si="35"/>
        <v>2</v>
      </c>
      <c r="AQ27" s="55">
        <f t="shared" si="36"/>
        <v>0</v>
      </c>
      <c r="AR27" s="55">
        <f t="shared" si="37"/>
        <v>6</v>
      </c>
      <c r="AS27" s="55">
        <f t="shared" si="38"/>
        <v>0</v>
      </c>
      <c r="AT27" s="55">
        <f t="shared" si="39"/>
        <v>2</v>
      </c>
      <c r="AU27" s="55">
        <f t="shared" si="23"/>
        <v>6</v>
      </c>
      <c r="AV27" s="55">
        <f t="shared" si="24"/>
        <v>120146</v>
      </c>
      <c r="AW27" s="55">
        <f t="shared" si="25"/>
        <v>12</v>
      </c>
      <c r="AX27" s="55">
        <f t="shared" si="26"/>
        <v>0</v>
      </c>
      <c r="AY27" s="55">
        <f t="shared" si="40"/>
        <v>6.25E-07</v>
      </c>
      <c r="AZ27" s="55">
        <f t="shared" si="27"/>
        <v>578.6759284263353</v>
      </c>
      <c r="BA27" s="55">
        <f t="shared" si="41"/>
        <v>0</v>
      </c>
      <c r="BB27" s="55">
        <f t="shared" si="42"/>
        <v>0</v>
      </c>
      <c r="BC27" s="26">
        <f t="shared" si="28"/>
        <v>294</v>
      </c>
      <c r="BD27" s="26">
        <f t="shared" si="29"/>
        <v>348</v>
      </c>
    </row>
    <row r="28" spans="2:56" ht="12.75">
      <c r="B28" s="29" t="s">
        <v>76</v>
      </c>
      <c r="C28" s="85"/>
      <c r="D28" s="78">
        <v>4</v>
      </c>
      <c r="E28" s="79">
        <v>9</v>
      </c>
      <c r="F28" s="7" t="str">
        <f t="shared" si="30"/>
        <v>Oliver</v>
      </c>
      <c r="G28" s="56" t="s">
        <v>30</v>
      </c>
      <c r="H28" s="10" t="str">
        <f t="shared" si="31"/>
        <v>Trump</v>
      </c>
      <c r="I28" s="20">
        <f t="shared" si="13"/>
        <v>0</v>
      </c>
      <c r="J28" s="25">
        <f t="shared" si="14"/>
        <v>1</v>
      </c>
      <c r="K28" s="48">
        <v>37</v>
      </c>
      <c r="L28" s="59">
        <v>45</v>
      </c>
      <c r="O28" s="58"/>
      <c r="P28" s="59"/>
      <c r="Q28" s="21">
        <f t="shared" si="15"/>
        <v>37</v>
      </c>
      <c r="R28" s="21">
        <f t="shared" si="16"/>
        <v>45</v>
      </c>
      <c r="AG28" s="23" t="str">
        <f t="shared" si="32"/>
        <v>Oliver_lose</v>
      </c>
      <c r="AH28" s="23" t="str">
        <f t="shared" si="33"/>
        <v>Trump_win</v>
      </c>
      <c r="AI28" s="55">
        <f t="shared" si="34"/>
        <v>0</v>
      </c>
      <c r="AJ28" s="55">
        <f t="shared" si="17"/>
      </c>
      <c r="AK28" s="55">
        <f t="shared" si="18"/>
      </c>
      <c r="AL28" s="2">
        <f t="shared" si="19"/>
        <v>0</v>
      </c>
      <c r="AM28" s="55">
        <f t="shared" si="20"/>
        <v>0</v>
      </c>
      <c r="AN28" s="55">
        <f t="shared" si="21"/>
        <v>1</v>
      </c>
      <c r="AO28" s="55" t="str">
        <f t="shared" si="22"/>
        <v>Forza</v>
      </c>
      <c r="AP28" s="55">
        <f t="shared" si="35"/>
        <v>7</v>
      </c>
      <c r="AQ28" s="55">
        <f t="shared" si="36"/>
        <v>0</v>
      </c>
      <c r="AR28" s="55">
        <f t="shared" si="37"/>
        <v>1</v>
      </c>
      <c r="AS28" s="55">
        <f t="shared" si="38"/>
        <v>0</v>
      </c>
      <c r="AT28" s="55">
        <f t="shared" si="39"/>
        <v>7</v>
      </c>
      <c r="AU28" s="55">
        <f t="shared" si="23"/>
        <v>1</v>
      </c>
      <c r="AV28" s="55">
        <f t="shared" si="24"/>
        <v>220821</v>
      </c>
      <c r="AW28" s="55">
        <f t="shared" si="25"/>
        <v>22</v>
      </c>
      <c r="AX28" s="55">
        <f t="shared" si="26"/>
        <v>0</v>
      </c>
      <c r="AY28" s="55">
        <f t="shared" si="40"/>
        <v>3.125E-07</v>
      </c>
      <c r="AZ28" s="55">
        <f t="shared" si="27"/>
        <v>1065.3058058202748</v>
      </c>
      <c r="BA28" s="55">
        <f t="shared" si="41"/>
        <v>0</v>
      </c>
      <c r="BB28" s="55">
        <f t="shared" si="42"/>
        <v>0</v>
      </c>
      <c r="BC28" s="26">
        <f t="shared" si="28"/>
        <v>359</v>
      </c>
      <c r="BD28" s="26">
        <f t="shared" si="29"/>
        <v>238</v>
      </c>
    </row>
    <row r="29" spans="2:56" ht="12.75">
      <c r="B29" s="29" t="s">
        <v>77</v>
      </c>
      <c r="C29" s="85"/>
      <c r="D29" s="78">
        <v>5</v>
      </c>
      <c r="E29" s="79">
        <v>8</v>
      </c>
      <c r="F29" s="7" t="str">
        <f t="shared" si="30"/>
        <v>Wilson</v>
      </c>
      <c r="G29" s="56" t="s">
        <v>30</v>
      </c>
      <c r="H29" s="10" t="str">
        <f t="shared" si="31"/>
        <v>Carlton</v>
      </c>
      <c r="I29" s="20">
        <f t="shared" si="13"/>
        <v>0</v>
      </c>
      <c r="J29" s="25">
        <f t="shared" si="14"/>
        <v>1</v>
      </c>
      <c r="K29" s="48">
        <v>35</v>
      </c>
      <c r="L29" s="59">
        <v>45</v>
      </c>
      <c r="O29" s="58"/>
      <c r="P29" s="59"/>
      <c r="Q29" s="21">
        <f t="shared" si="15"/>
        <v>35</v>
      </c>
      <c r="R29" s="21">
        <f t="shared" si="16"/>
        <v>45</v>
      </c>
      <c r="AG29" s="23" t="str">
        <f t="shared" si="32"/>
        <v>Wilson_lose</v>
      </c>
      <c r="AH29" s="23" t="str">
        <f t="shared" si="33"/>
        <v>Carlton_win</v>
      </c>
      <c r="AI29" s="55">
        <f t="shared" si="34"/>
        <v>0</v>
      </c>
      <c r="AJ29" s="55">
        <f t="shared" si="17"/>
      </c>
      <c r="AK29" s="55">
        <f t="shared" si="18"/>
      </c>
      <c r="AL29" s="2">
        <f t="shared" si="19"/>
        <v>0</v>
      </c>
      <c r="AM29" s="55">
        <f t="shared" si="20"/>
        <v>0</v>
      </c>
      <c r="AN29" s="55">
        <f t="shared" si="21"/>
        <v>6</v>
      </c>
      <c r="AO29" s="55" t="str">
        <f t="shared" si="22"/>
        <v>Adidas</v>
      </c>
      <c r="AP29" s="55">
        <f t="shared" si="35"/>
        <v>3</v>
      </c>
      <c r="AQ29" s="55">
        <f t="shared" si="36"/>
        <v>0</v>
      </c>
      <c r="AR29" s="55">
        <f t="shared" si="37"/>
        <v>5</v>
      </c>
      <c r="AS29" s="55">
        <f t="shared" si="38"/>
        <v>0</v>
      </c>
      <c r="AT29" s="55">
        <f t="shared" si="39"/>
        <v>3</v>
      </c>
      <c r="AU29" s="55">
        <f t="shared" si="23"/>
        <v>5</v>
      </c>
      <c r="AV29" s="55">
        <f t="shared" si="24"/>
        <v>140286</v>
      </c>
      <c r="AW29" s="55">
        <f t="shared" si="25"/>
        <v>14</v>
      </c>
      <c r="AX29" s="55">
        <f t="shared" si="26"/>
        <v>0</v>
      </c>
      <c r="AY29" s="55">
        <f t="shared" si="40"/>
        <v>1.5625E-07</v>
      </c>
      <c r="AZ29" s="55">
        <f t="shared" si="27"/>
        <v>676.005129304482</v>
      </c>
      <c r="BA29" s="55">
        <f t="shared" si="41"/>
        <v>-14</v>
      </c>
      <c r="BB29" s="55">
        <f t="shared" si="42"/>
        <v>0</v>
      </c>
      <c r="BC29" s="26">
        <f t="shared" si="28"/>
        <v>317</v>
      </c>
      <c r="BD29" s="26">
        <f t="shared" si="29"/>
        <v>331</v>
      </c>
    </row>
    <row r="30" spans="2:56" ht="12.75">
      <c r="B30" s="92" t="s">
        <v>78</v>
      </c>
      <c r="C30" s="92"/>
      <c r="D30" s="101">
        <v>6</v>
      </c>
      <c r="E30" s="102">
        <v>7</v>
      </c>
      <c r="F30" s="18" t="str">
        <f t="shared" si="30"/>
        <v>Forza</v>
      </c>
      <c r="G30" s="97" t="s">
        <v>30</v>
      </c>
      <c r="H30" s="9" t="str">
        <f t="shared" si="31"/>
        <v>Adidas</v>
      </c>
      <c r="I30" s="90">
        <f t="shared" si="13"/>
        <v>1</v>
      </c>
      <c r="J30" s="98">
        <f t="shared" si="14"/>
        <v>0</v>
      </c>
      <c r="K30" s="99">
        <v>45</v>
      </c>
      <c r="L30" s="100">
        <v>30</v>
      </c>
      <c r="M30" s="109"/>
      <c r="N30" s="110"/>
      <c r="O30" s="111"/>
      <c r="P30" s="100"/>
      <c r="Q30" s="91">
        <f t="shared" si="15"/>
        <v>45</v>
      </c>
      <c r="R30" s="91">
        <f t="shared" si="16"/>
        <v>30</v>
      </c>
      <c r="AG30" s="23" t="str">
        <f t="shared" si="32"/>
        <v>Forza_win</v>
      </c>
      <c r="AH30" s="23" t="str">
        <f t="shared" si="33"/>
        <v>Adidas_lose</v>
      </c>
      <c r="AI30" s="55">
        <f t="shared" si="34"/>
        <v>0</v>
      </c>
      <c r="AJ30" s="55">
        <f t="shared" si="17"/>
      </c>
      <c r="AK30" s="55">
        <f t="shared" si="18"/>
      </c>
      <c r="AL30" s="2">
        <f t="shared" si="19"/>
        <v>0</v>
      </c>
      <c r="AM30" s="55">
        <f t="shared" si="20"/>
        <v>0</v>
      </c>
      <c r="AN30" s="55">
        <f t="shared" si="21"/>
        <v>5</v>
      </c>
      <c r="AO30" s="55" t="str">
        <f t="shared" si="22"/>
        <v>Carlton</v>
      </c>
      <c r="AP30" s="55">
        <f t="shared" si="35"/>
        <v>4</v>
      </c>
      <c r="AQ30" s="55">
        <f t="shared" si="36"/>
        <v>0</v>
      </c>
      <c r="AR30" s="55">
        <f t="shared" si="37"/>
        <v>4</v>
      </c>
      <c r="AS30" s="55">
        <f t="shared" si="38"/>
        <v>0</v>
      </c>
      <c r="AT30" s="55">
        <f t="shared" si="39"/>
        <v>4</v>
      </c>
      <c r="AU30" s="55">
        <f t="shared" si="23"/>
        <v>4</v>
      </c>
      <c r="AV30" s="55">
        <f t="shared" si="24"/>
        <v>160385</v>
      </c>
      <c r="AW30" s="55">
        <f t="shared" si="25"/>
        <v>16</v>
      </c>
      <c r="AX30" s="55">
        <f t="shared" si="26"/>
        <v>0</v>
      </c>
      <c r="AY30" s="55">
        <f t="shared" si="40"/>
        <v>7.8125E-08</v>
      </c>
      <c r="AZ30" s="55">
        <f t="shared" si="27"/>
        <v>773.3129751211075</v>
      </c>
      <c r="BA30" s="55">
        <f t="shared" si="41"/>
        <v>0</v>
      </c>
      <c r="BB30" s="55">
        <f t="shared" si="42"/>
        <v>0</v>
      </c>
      <c r="BC30" s="26">
        <f t="shared" si="28"/>
        <v>311</v>
      </c>
      <c r="BD30" s="26">
        <f t="shared" si="29"/>
        <v>326</v>
      </c>
    </row>
    <row r="31" spans="2:56" ht="12.75">
      <c r="B31" s="29" t="s">
        <v>75</v>
      </c>
      <c r="C31" s="84" t="s">
        <v>69</v>
      </c>
      <c r="D31" s="82">
        <v>4</v>
      </c>
      <c r="E31" s="83">
        <v>2</v>
      </c>
      <c r="F31" s="7" t="str">
        <f t="shared" si="30"/>
        <v>Oliver</v>
      </c>
      <c r="G31" s="56" t="s">
        <v>30</v>
      </c>
      <c r="H31" s="10" t="str">
        <f t="shared" si="31"/>
        <v>Babolat</v>
      </c>
      <c r="I31" s="20">
        <f t="shared" si="13"/>
        <v>0</v>
      </c>
      <c r="J31" s="25">
        <f t="shared" si="14"/>
        <v>1</v>
      </c>
      <c r="K31" s="48">
        <v>27</v>
      </c>
      <c r="L31" s="59">
        <v>45</v>
      </c>
      <c r="O31" s="58"/>
      <c r="P31" s="59"/>
      <c r="Q31" s="21">
        <f t="shared" si="15"/>
        <v>27</v>
      </c>
      <c r="R31" s="21">
        <f t="shared" si="16"/>
        <v>45</v>
      </c>
      <c r="AG31" s="23" t="str">
        <f t="shared" si="32"/>
        <v>Oliver_lose</v>
      </c>
      <c r="AH31" s="23" t="str">
        <f t="shared" si="33"/>
        <v>Babolat_win</v>
      </c>
      <c r="AI31" s="55">
        <f t="shared" si="34"/>
        <v>0</v>
      </c>
      <c r="AJ31" s="55">
        <f t="shared" si="17"/>
      </c>
      <c r="AK31" s="55">
        <f t="shared" si="18"/>
      </c>
      <c r="AL31" s="2">
        <f t="shared" si="19"/>
        <v>0</v>
      </c>
      <c r="AM31" s="55">
        <f t="shared" si="20"/>
        <v>0</v>
      </c>
      <c r="AN31" s="55">
        <f t="shared" si="21"/>
        <v>2</v>
      </c>
      <c r="AO31" s="55" t="str">
        <f t="shared" si="22"/>
        <v>Trump</v>
      </c>
      <c r="AP31" s="55">
        <f t="shared" si="35"/>
        <v>6</v>
      </c>
      <c r="AQ31" s="55">
        <f t="shared" si="36"/>
        <v>0</v>
      </c>
      <c r="AR31" s="55">
        <f t="shared" si="37"/>
        <v>2</v>
      </c>
      <c r="AS31" s="55">
        <f t="shared" si="38"/>
        <v>0</v>
      </c>
      <c r="AT31" s="55">
        <f t="shared" si="39"/>
        <v>6</v>
      </c>
      <c r="AU31" s="55">
        <f t="shared" si="23"/>
        <v>2</v>
      </c>
      <c r="AV31" s="55">
        <f t="shared" si="24"/>
        <v>200654</v>
      </c>
      <c r="AW31" s="55">
        <f t="shared" si="25"/>
        <v>20</v>
      </c>
      <c r="AX31" s="55">
        <f t="shared" si="26"/>
        <v>0</v>
      </c>
      <c r="AY31" s="55">
        <f t="shared" si="40"/>
        <v>3.90625E-08</v>
      </c>
      <c r="AZ31" s="55">
        <f t="shared" si="27"/>
        <v>967.965627157345</v>
      </c>
      <c r="BA31" s="55">
        <f t="shared" si="41"/>
        <v>20</v>
      </c>
      <c r="BB31" s="55">
        <f t="shared" si="42"/>
        <v>0</v>
      </c>
      <c r="BC31" s="26">
        <f t="shared" si="28"/>
        <v>349</v>
      </c>
      <c r="BD31" s="26">
        <f t="shared" si="29"/>
        <v>295</v>
      </c>
    </row>
    <row r="32" spans="2:56" ht="12.75">
      <c r="B32" s="29" t="s">
        <v>76</v>
      </c>
      <c r="D32" s="82">
        <v>5</v>
      </c>
      <c r="E32" s="83">
        <v>1</v>
      </c>
      <c r="F32" s="7" t="str">
        <f t="shared" si="30"/>
        <v>Wilson</v>
      </c>
      <c r="G32" s="56" t="s">
        <v>30</v>
      </c>
      <c r="H32" s="10" t="str">
        <f t="shared" si="31"/>
        <v>Lining</v>
      </c>
      <c r="I32" s="20">
        <f t="shared" si="13"/>
        <v>0</v>
      </c>
      <c r="J32" s="25">
        <f t="shared" si="14"/>
        <v>1</v>
      </c>
      <c r="K32" s="48">
        <v>37</v>
      </c>
      <c r="L32" s="59">
        <v>45</v>
      </c>
      <c r="O32" s="58"/>
      <c r="P32" s="59"/>
      <c r="Q32" s="21">
        <f t="shared" si="15"/>
        <v>37</v>
      </c>
      <c r="R32" s="21">
        <f t="shared" si="16"/>
        <v>45</v>
      </c>
      <c r="AG32" s="23" t="str">
        <f t="shared" si="32"/>
        <v>Wilson_lose</v>
      </c>
      <c r="AH32" s="23" t="str">
        <f t="shared" si="33"/>
        <v>Lining_win</v>
      </c>
      <c r="AI32" s="55">
        <f t="shared" si="34"/>
        <v>0</v>
      </c>
      <c r="AJ32" s="55">
        <f t="shared" si="17"/>
      </c>
      <c r="AK32" s="55">
        <f t="shared" si="18"/>
      </c>
      <c r="AL32" s="2">
        <f t="shared" si="19"/>
        <v>0</v>
      </c>
      <c r="AM32" s="55">
        <f t="shared" si="20"/>
        <v>0</v>
      </c>
      <c r="AN32" s="55">
        <f t="shared" si="21"/>
        <v>10</v>
      </c>
      <c r="AO32" s="55">
        <f t="shared" si="22"/>
        <v>0</v>
      </c>
      <c r="AP32" s="55">
        <f t="shared" si="35"/>
        <v>0</v>
      </c>
      <c r="AQ32" s="55">
        <f t="shared" si="36"/>
        <v>0</v>
      </c>
      <c r="AR32" s="55">
        <f t="shared" si="37"/>
        <v>0</v>
      </c>
      <c r="AS32" s="55">
        <f t="shared" si="38"/>
        <v>0</v>
      </c>
      <c r="AT32" s="55">
        <f t="shared" si="39"/>
        <v>0</v>
      </c>
      <c r="AU32" s="55">
        <f t="shared" si="23"/>
        <v>0</v>
      </c>
      <c r="AV32" s="55">
        <f t="shared" si="24"/>
        <v>0</v>
      </c>
      <c r="AW32" s="55">
        <f t="shared" si="25"/>
        <v>0</v>
      </c>
      <c r="AX32" s="55">
        <f t="shared" si="26"/>
        <v>0</v>
      </c>
      <c r="AY32" s="55">
        <f t="shared" si="40"/>
        <v>1.953125E-08</v>
      </c>
      <c r="AZ32" s="55">
        <f t="shared" si="27"/>
        <v>1.953125E-08</v>
      </c>
      <c r="BA32" s="55">
        <f t="shared" si="41"/>
        <v>0</v>
      </c>
      <c r="BB32" s="55">
        <f t="shared" si="42"/>
        <v>0</v>
      </c>
      <c r="BC32" s="26">
        <f t="shared" si="28"/>
        <v>0</v>
      </c>
      <c r="BD32" s="26">
        <f t="shared" si="29"/>
        <v>0</v>
      </c>
    </row>
    <row r="33" spans="2:56" ht="12.75">
      <c r="B33" s="29" t="s">
        <v>77</v>
      </c>
      <c r="C33" s="84"/>
      <c r="D33" s="82">
        <v>6</v>
      </c>
      <c r="E33" s="83">
        <v>9</v>
      </c>
      <c r="F33" s="7" t="str">
        <f t="shared" si="30"/>
        <v>Forza</v>
      </c>
      <c r="G33" s="56" t="s">
        <v>30</v>
      </c>
      <c r="H33" s="10" t="str">
        <f t="shared" si="31"/>
        <v>Trump</v>
      </c>
      <c r="I33" s="20">
        <f t="shared" si="13"/>
        <v>1</v>
      </c>
      <c r="J33" s="25">
        <f t="shared" si="14"/>
        <v>0</v>
      </c>
      <c r="K33" s="48">
        <v>45</v>
      </c>
      <c r="L33" s="59">
        <v>39</v>
      </c>
      <c r="O33" s="58"/>
      <c r="P33" s="59"/>
      <c r="Q33" s="21">
        <f t="shared" si="15"/>
        <v>45</v>
      </c>
      <c r="R33" s="21">
        <f t="shared" si="16"/>
        <v>39</v>
      </c>
      <c r="AG33" s="23" t="str">
        <f t="shared" si="32"/>
        <v>Forza_win</v>
      </c>
      <c r="AH33" s="23" t="str">
        <f t="shared" si="33"/>
        <v>Trump_lose</v>
      </c>
      <c r="AI33" s="55">
        <f t="shared" si="34"/>
        <v>0</v>
      </c>
      <c r="AJ33" s="55">
        <f t="shared" si="17"/>
      </c>
      <c r="AK33" s="55">
        <f t="shared" si="18"/>
      </c>
      <c r="AL33" s="2">
        <f t="shared" si="19"/>
        <v>0</v>
      </c>
      <c r="AM33" s="55">
        <f t="shared" si="20"/>
        <v>0</v>
      </c>
      <c r="AN33" s="55">
        <f t="shared" si="21"/>
        <v>11</v>
      </c>
      <c r="AO33" s="55">
        <f t="shared" si="22"/>
        <v>0</v>
      </c>
      <c r="AP33" s="55">
        <f t="shared" si="35"/>
        <v>0</v>
      </c>
      <c r="AQ33" s="55">
        <f t="shared" si="36"/>
        <v>0</v>
      </c>
      <c r="AR33" s="55">
        <f t="shared" si="37"/>
        <v>0</v>
      </c>
      <c r="AS33" s="55">
        <f t="shared" si="38"/>
        <v>0</v>
      </c>
      <c r="AT33" s="55">
        <f t="shared" si="39"/>
        <v>0</v>
      </c>
      <c r="AU33" s="55">
        <f t="shared" si="23"/>
        <v>0</v>
      </c>
      <c r="AV33" s="55">
        <f t="shared" si="24"/>
        <v>0</v>
      </c>
      <c r="AW33" s="55">
        <f t="shared" si="25"/>
        <v>0</v>
      </c>
      <c r="AX33" s="55">
        <f t="shared" si="26"/>
        <v>0</v>
      </c>
      <c r="AY33" s="55">
        <f t="shared" si="40"/>
        <v>9.765625E-09</v>
      </c>
      <c r="AZ33" s="55">
        <f t="shared" si="27"/>
        <v>9.765625E-09</v>
      </c>
      <c r="BA33" s="55">
        <f t="shared" si="41"/>
        <v>0</v>
      </c>
      <c r="BB33" s="55">
        <f t="shared" si="42"/>
        <v>0</v>
      </c>
      <c r="BC33" s="26">
        <f t="shared" si="28"/>
        <v>0</v>
      </c>
      <c r="BD33" s="26">
        <f t="shared" si="29"/>
        <v>0</v>
      </c>
    </row>
    <row r="34" spans="2:56" ht="12.75">
      <c r="B34" s="92" t="s">
        <v>78</v>
      </c>
      <c r="C34" s="92"/>
      <c r="D34" s="95">
        <v>7</v>
      </c>
      <c r="E34" s="96">
        <v>8</v>
      </c>
      <c r="F34" s="18" t="str">
        <f t="shared" si="30"/>
        <v>Adidas</v>
      </c>
      <c r="G34" s="97" t="s">
        <v>30</v>
      </c>
      <c r="H34" s="9" t="str">
        <f t="shared" si="31"/>
        <v>Carlton</v>
      </c>
      <c r="I34" s="90">
        <f t="shared" si="13"/>
        <v>0</v>
      </c>
      <c r="J34" s="98">
        <f t="shared" si="14"/>
        <v>1</v>
      </c>
      <c r="K34" s="99">
        <v>36</v>
      </c>
      <c r="L34" s="100">
        <v>45</v>
      </c>
      <c r="M34" s="109"/>
      <c r="N34" s="110"/>
      <c r="O34" s="111"/>
      <c r="P34" s="100"/>
      <c r="Q34" s="91">
        <f t="shared" si="15"/>
        <v>36</v>
      </c>
      <c r="R34" s="91">
        <f t="shared" si="16"/>
        <v>45</v>
      </c>
      <c r="AG34" s="23" t="str">
        <f t="shared" si="32"/>
        <v>Adidas_lose</v>
      </c>
      <c r="AH34" s="23" t="str">
        <f t="shared" si="33"/>
        <v>Carlton_win</v>
      </c>
      <c r="AI34" s="55">
        <f t="shared" si="34"/>
        <v>0</v>
      </c>
      <c r="AJ34" s="55">
        <f t="shared" si="17"/>
      </c>
      <c r="AK34" s="55">
        <f t="shared" si="18"/>
      </c>
      <c r="AL34" s="2">
        <f t="shared" si="19"/>
        <v>0</v>
      </c>
      <c r="AM34" s="55">
        <f t="shared" si="20"/>
        <v>0</v>
      </c>
      <c r="AN34" s="55">
        <f t="shared" si="21"/>
        <v>12</v>
      </c>
      <c r="AO34" s="55">
        <f t="shared" si="22"/>
        <v>0</v>
      </c>
      <c r="AP34" s="55">
        <f t="shared" si="35"/>
        <v>0</v>
      </c>
      <c r="AQ34" s="55">
        <f t="shared" si="36"/>
        <v>0</v>
      </c>
      <c r="AR34" s="55">
        <f t="shared" si="37"/>
        <v>0</v>
      </c>
      <c r="AS34" s="55">
        <f t="shared" si="38"/>
        <v>0</v>
      </c>
      <c r="AT34" s="55">
        <f t="shared" si="39"/>
        <v>0</v>
      </c>
      <c r="AU34" s="55">
        <f t="shared" si="23"/>
        <v>0</v>
      </c>
      <c r="AV34" s="55">
        <f t="shared" si="24"/>
        <v>0</v>
      </c>
      <c r="AW34" s="55">
        <f t="shared" si="25"/>
        <v>0</v>
      </c>
      <c r="AX34" s="55">
        <f t="shared" si="26"/>
        <v>0</v>
      </c>
      <c r="AY34" s="55">
        <f t="shared" si="40"/>
        <v>4.8828125E-09</v>
      </c>
      <c r="AZ34" s="55">
        <f t="shared" si="27"/>
        <v>4.8828125E-09</v>
      </c>
      <c r="BA34" s="55">
        <f t="shared" si="41"/>
        <v>0</v>
      </c>
      <c r="BB34" s="55">
        <f t="shared" si="42"/>
        <v>0</v>
      </c>
      <c r="BC34" s="26">
        <f t="shared" si="28"/>
        <v>0</v>
      </c>
      <c r="BD34" s="26">
        <f t="shared" si="29"/>
        <v>0</v>
      </c>
    </row>
    <row r="35" spans="2:56" ht="12.75">
      <c r="B35" s="29" t="s">
        <v>75</v>
      </c>
      <c r="C35" s="85" t="s">
        <v>70</v>
      </c>
      <c r="D35" s="78">
        <v>5</v>
      </c>
      <c r="E35" s="79">
        <v>3</v>
      </c>
      <c r="F35" s="7" t="str">
        <f t="shared" si="30"/>
        <v>Wilson</v>
      </c>
      <c r="G35" s="56" t="s">
        <v>30</v>
      </c>
      <c r="H35" s="10" t="str">
        <f t="shared" si="31"/>
        <v>Yonex</v>
      </c>
      <c r="I35" s="20">
        <f t="shared" si="13"/>
        <v>0</v>
      </c>
      <c r="J35" s="25">
        <f t="shared" si="14"/>
        <v>1</v>
      </c>
      <c r="K35" s="48">
        <v>42</v>
      </c>
      <c r="L35" s="59">
        <v>45</v>
      </c>
      <c r="O35" s="58"/>
      <c r="P35" s="59"/>
      <c r="Q35" s="21">
        <f t="shared" si="15"/>
        <v>42</v>
      </c>
      <c r="R35" s="21">
        <f t="shared" si="16"/>
        <v>45</v>
      </c>
      <c r="AG35" s="23" t="str">
        <f t="shared" si="32"/>
        <v>Wilson_lose</v>
      </c>
      <c r="AH35" s="23" t="str">
        <f t="shared" si="33"/>
        <v>Yonex_win</v>
      </c>
      <c r="AI35" s="55">
        <f t="shared" si="34"/>
        <v>0</v>
      </c>
      <c r="AJ35" s="55">
        <f t="shared" si="17"/>
      </c>
      <c r="AK35" s="55">
        <f t="shared" si="18"/>
      </c>
      <c r="AL35" s="2">
        <f t="shared" si="19"/>
        <v>0</v>
      </c>
      <c r="AM35" s="55">
        <f t="shared" si="20"/>
        <v>0</v>
      </c>
      <c r="AN35" s="55">
        <f t="shared" si="21"/>
        <v>13</v>
      </c>
      <c r="AO35" s="55">
        <f t="shared" si="22"/>
        <v>0</v>
      </c>
      <c r="AP35" s="55">
        <f t="shared" si="35"/>
        <v>0</v>
      </c>
      <c r="AQ35" s="55">
        <f t="shared" si="36"/>
        <v>0</v>
      </c>
      <c r="AR35" s="55">
        <f t="shared" si="37"/>
        <v>0</v>
      </c>
      <c r="AS35" s="55">
        <f t="shared" si="38"/>
        <v>0</v>
      </c>
      <c r="AT35" s="55">
        <f t="shared" si="39"/>
        <v>0</v>
      </c>
      <c r="AU35" s="55">
        <f t="shared" si="23"/>
        <v>0</v>
      </c>
      <c r="AV35" s="55">
        <f t="shared" si="24"/>
        <v>0</v>
      </c>
      <c r="AW35" s="55">
        <f t="shared" si="25"/>
        <v>0</v>
      </c>
      <c r="AX35" s="55">
        <f t="shared" si="26"/>
        <v>0</v>
      </c>
      <c r="AY35" s="55">
        <f t="shared" si="40"/>
        <v>2.44140625E-09</v>
      </c>
      <c r="AZ35" s="55">
        <f t="shared" si="27"/>
        <v>2.44140625E-09</v>
      </c>
      <c r="BA35" s="55">
        <f t="shared" si="41"/>
        <v>0</v>
      </c>
      <c r="BB35" s="55">
        <f t="shared" si="42"/>
        <v>0</v>
      </c>
      <c r="BC35" s="26">
        <f t="shared" si="28"/>
        <v>0</v>
      </c>
      <c r="BD35" s="26">
        <f t="shared" si="29"/>
        <v>0</v>
      </c>
    </row>
    <row r="36" spans="2:56" ht="12.75">
      <c r="B36" s="29" t="s">
        <v>76</v>
      </c>
      <c r="D36" s="78">
        <v>6</v>
      </c>
      <c r="E36" s="79">
        <v>2</v>
      </c>
      <c r="F36" s="7" t="str">
        <f t="shared" si="30"/>
        <v>Forza</v>
      </c>
      <c r="G36" s="56" t="s">
        <v>30</v>
      </c>
      <c r="H36" s="10" t="str">
        <f t="shared" si="31"/>
        <v>Babolat</v>
      </c>
      <c r="I36" s="20">
        <f t="shared" si="13"/>
        <v>1</v>
      </c>
      <c r="J36" s="25">
        <f t="shared" si="14"/>
        <v>0</v>
      </c>
      <c r="K36" s="48">
        <v>45</v>
      </c>
      <c r="L36" s="59">
        <v>38</v>
      </c>
      <c r="O36" s="58"/>
      <c r="P36" s="59"/>
      <c r="Q36" s="21">
        <f t="shared" si="15"/>
        <v>45</v>
      </c>
      <c r="R36" s="21">
        <f t="shared" si="16"/>
        <v>38</v>
      </c>
      <c r="AG36" s="23" t="str">
        <f t="shared" si="32"/>
        <v>Forza_win</v>
      </c>
      <c r="AH36" s="23" t="str">
        <f t="shared" si="33"/>
        <v>Babolat_lose</v>
      </c>
      <c r="AI36" s="55">
        <f t="shared" si="34"/>
        <v>0</v>
      </c>
      <c r="AJ36" s="55">
        <f t="shared" si="17"/>
      </c>
      <c r="AK36" s="55">
        <f t="shared" si="18"/>
      </c>
      <c r="AL36" s="2">
        <f t="shared" si="19"/>
        <v>0</v>
      </c>
      <c r="AM36" s="55">
        <f t="shared" si="20"/>
        <v>0</v>
      </c>
      <c r="AN36" s="55">
        <f t="shared" si="21"/>
        <v>14</v>
      </c>
      <c r="AO36" s="55">
        <f t="shared" si="22"/>
        <v>0</v>
      </c>
      <c r="AP36" s="55">
        <f t="shared" si="35"/>
        <v>0</v>
      </c>
      <c r="AQ36" s="55">
        <f t="shared" si="36"/>
        <v>0</v>
      </c>
      <c r="AR36" s="55">
        <f t="shared" si="37"/>
        <v>0</v>
      </c>
      <c r="AS36" s="55">
        <f t="shared" si="38"/>
        <v>0</v>
      </c>
      <c r="AT36" s="55">
        <f t="shared" si="39"/>
        <v>0</v>
      </c>
      <c r="AU36" s="55">
        <f t="shared" si="23"/>
        <v>0</v>
      </c>
      <c r="AV36" s="55">
        <f t="shared" si="24"/>
        <v>0</v>
      </c>
      <c r="AW36" s="55">
        <f t="shared" si="25"/>
        <v>0</v>
      </c>
      <c r="AX36" s="55">
        <f t="shared" si="26"/>
        <v>0</v>
      </c>
      <c r="AY36" s="55">
        <f t="shared" si="40"/>
        <v>1.220703125E-09</v>
      </c>
      <c r="AZ36" s="55">
        <f t="shared" si="27"/>
        <v>1.220703125E-09</v>
      </c>
      <c r="BA36" s="55">
        <f t="shared" si="41"/>
        <v>0</v>
      </c>
      <c r="BB36" s="55">
        <f t="shared" si="42"/>
        <v>0</v>
      </c>
      <c r="BC36" s="26">
        <f t="shared" si="28"/>
        <v>0</v>
      </c>
      <c r="BD36" s="26">
        <f t="shared" si="29"/>
        <v>0</v>
      </c>
    </row>
    <row r="37" spans="2:56" ht="12.75">
      <c r="B37" s="29" t="s">
        <v>77</v>
      </c>
      <c r="D37" s="78">
        <v>7</v>
      </c>
      <c r="E37" s="79">
        <v>1</v>
      </c>
      <c r="F37" s="7" t="str">
        <f t="shared" si="30"/>
        <v>Adidas</v>
      </c>
      <c r="G37" s="56" t="s">
        <v>30</v>
      </c>
      <c r="H37" s="10" t="str">
        <f t="shared" si="31"/>
        <v>Lining</v>
      </c>
      <c r="I37" s="20">
        <v>0</v>
      </c>
      <c r="J37" s="25">
        <v>1</v>
      </c>
      <c r="K37" s="48">
        <v>29</v>
      </c>
      <c r="L37" s="59">
        <v>45</v>
      </c>
      <c r="O37" s="58"/>
      <c r="P37" s="59"/>
      <c r="Q37" s="21">
        <f t="shared" si="15"/>
        <v>29</v>
      </c>
      <c r="R37" s="21">
        <f t="shared" si="16"/>
        <v>45</v>
      </c>
      <c r="AG37" s="23" t="str">
        <f t="shared" si="32"/>
        <v>Adidas_lose</v>
      </c>
      <c r="AH37" s="23" t="str">
        <f t="shared" si="33"/>
        <v>Lining_win</v>
      </c>
      <c r="AI37" s="55">
        <f t="shared" si="34"/>
        <v>0</v>
      </c>
      <c r="AJ37" s="55">
        <f t="shared" si="17"/>
      </c>
      <c r="AK37" s="55">
        <f t="shared" si="18"/>
      </c>
      <c r="AL37" s="2">
        <f t="shared" si="19"/>
        <v>0</v>
      </c>
      <c r="AM37" s="55">
        <f t="shared" si="20"/>
        <v>0</v>
      </c>
      <c r="AP37" s="55">
        <f aca="true" t="shared" si="43" ref="AP37:AU37">MAX(AP23:AP36)-MIN(AP23:AP36)+1</f>
        <v>8</v>
      </c>
      <c r="AQ37" s="55">
        <f t="shared" si="43"/>
        <v>1</v>
      </c>
      <c r="AR37" s="55">
        <f t="shared" si="43"/>
        <v>9</v>
      </c>
      <c r="AS37" s="55">
        <f t="shared" si="43"/>
        <v>1</v>
      </c>
      <c r="AT37" s="55">
        <f t="shared" si="43"/>
        <v>8</v>
      </c>
      <c r="AU37" s="55">
        <f t="shared" si="43"/>
        <v>9</v>
      </c>
      <c r="AV37" s="55">
        <f>MAX(AV23:AV36)-AV38+1</f>
        <v>220822</v>
      </c>
      <c r="AW37" s="55">
        <f>MAX(AW23:AW36)-MIN(AW23:AW36)+1</f>
        <v>23</v>
      </c>
      <c r="AX37" s="55">
        <f>MAX(AX23:AX28)-MIN(AX23:AX28)+1</f>
        <v>1</v>
      </c>
      <c r="AY37" s="55"/>
      <c r="AZ37" s="55"/>
      <c r="BC37" s="55">
        <f>MAX(BC23:BC28)-MIN(BC23:BC28)+1</f>
        <v>104</v>
      </c>
      <c r="BD37" s="55">
        <f>MAX(BD23:BD28)-MIN(BD23:BD28)+1</f>
        <v>123</v>
      </c>
    </row>
    <row r="38" spans="2:50" ht="12.75">
      <c r="B38" s="92" t="s">
        <v>78</v>
      </c>
      <c r="C38" s="103"/>
      <c r="D38" s="101">
        <v>8</v>
      </c>
      <c r="E38" s="102">
        <v>9</v>
      </c>
      <c r="F38" s="18" t="str">
        <f t="shared" si="30"/>
        <v>Carlton</v>
      </c>
      <c r="G38" s="97" t="s">
        <v>30</v>
      </c>
      <c r="H38" s="9" t="str">
        <f t="shared" si="31"/>
        <v>Trump</v>
      </c>
      <c r="I38" s="90">
        <v>0</v>
      </c>
      <c r="J38" s="98">
        <v>1</v>
      </c>
      <c r="K38" s="99">
        <v>33</v>
      </c>
      <c r="L38" s="100">
        <v>45</v>
      </c>
      <c r="M38" s="109"/>
      <c r="N38" s="110"/>
      <c r="O38" s="111"/>
      <c r="P38" s="100"/>
      <c r="Q38" s="91">
        <f t="shared" si="15"/>
        <v>33</v>
      </c>
      <c r="R38" s="91">
        <f t="shared" si="16"/>
        <v>45</v>
      </c>
      <c r="AG38" s="23" t="str">
        <f t="shared" si="32"/>
        <v>Carlton_lose</v>
      </c>
      <c r="AH38" s="23" t="str">
        <f t="shared" si="33"/>
        <v>Trump_win</v>
      </c>
      <c r="AI38" s="55">
        <f t="shared" si="34"/>
        <v>0</v>
      </c>
      <c r="AJ38" s="55">
        <f t="shared" si="17"/>
      </c>
      <c r="AK38" s="55">
        <f t="shared" si="18"/>
      </c>
      <c r="AL38" s="2">
        <f t="shared" si="19"/>
        <v>0</v>
      </c>
      <c r="AM38" s="55">
        <f t="shared" si="20"/>
        <v>0</v>
      </c>
      <c r="AP38" s="55"/>
      <c r="AQ38" s="55"/>
      <c r="AR38" s="55"/>
      <c r="AS38" s="55"/>
      <c r="AT38" s="55"/>
      <c r="AU38" s="55"/>
      <c r="AV38" s="55">
        <f>MIN(AV23:AV36)</f>
        <v>0</v>
      </c>
      <c r="AW38" s="55"/>
      <c r="AX38" s="55"/>
    </row>
    <row r="39" spans="2:39" ht="12.75">
      <c r="B39" s="29" t="s">
        <v>75</v>
      </c>
      <c r="C39" s="84" t="s">
        <v>71</v>
      </c>
      <c r="D39" s="82">
        <v>6</v>
      </c>
      <c r="E39" s="83">
        <v>4</v>
      </c>
      <c r="F39" s="7" t="str">
        <f t="shared" si="30"/>
        <v>Forza</v>
      </c>
      <c r="G39" s="56" t="s">
        <v>30</v>
      </c>
      <c r="H39" s="10" t="str">
        <f t="shared" si="31"/>
        <v>Oliver</v>
      </c>
      <c r="I39" s="20">
        <f t="shared" si="13"/>
        <v>1</v>
      </c>
      <c r="J39" s="25">
        <f t="shared" si="14"/>
        <v>0</v>
      </c>
      <c r="K39" s="48">
        <v>45</v>
      </c>
      <c r="L39" s="59">
        <v>22</v>
      </c>
      <c r="O39" s="58"/>
      <c r="P39" s="59"/>
      <c r="Q39" s="21">
        <f t="shared" si="15"/>
        <v>45</v>
      </c>
      <c r="R39" s="21">
        <f t="shared" si="16"/>
        <v>22</v>
      </c>
      <c r="AG39" s="23" t="str">
        <f t="shared" si="32"/>
        <v>Forza_win</v>
      </c>
      <c r="AH39" s="23" t="str">
        <f t="shared" si="33"/>
        <v>Oliver_lose</v>
      </c>
      <c r="AI39" s="55">
        <f t="shared" si="34"/>
        <v>0</v>
      </c>
      <c r="AJ39" s="55">
        <f t="shared" si="17"/>
      </c>
      <c r="AK39" s="55">
        <f t="shared" si="18"/>
      </c>
      <c r="AL39" s="2">
        <f t="shared" si="19"/>
        <v>0</v>
      </c>
      <c r="AM39" s="55">
        <f t="shared" si="20"/>
        <v>0</v>
      </c>
    </row>
    <row r="40" spans="2:39" ht="12.75">
      <c r="B40" s="29" t="s">
        <v>76</v>
      </c>
      <c r="D40" s="82">
        <v>7</v>
      </c>
      <c r="E40" s="83">
        <v>3</v>
      </c>
      <c r="F40" s="7" t="str">
        <f t="shared" si="30"/>
        <v>Adidas</v>
      </c>
      <c r="G40" s="56" t="s">
        <v>30</v>
      </c>
      <c r="H40" s="10" t="str">
        <f t="shared" si="31"/>
        <v>Yonex</v>
      </c>
      <c r="I40" s="20">
        <v>0</v>
      </c>
      <c r="J40" s="25">
        <v>1</v>
      </c>
      <c r="K40" s="48">
        <v>43</v>
      </c>
      <c r="L40" s="59">
        <v>45</v>
      </c>
      <c r="O40" s="58"/>
      <c r="P40" s="59"/>
      <c r="Q40" s="21">
        <f t="shared" si="15"/>
        <v>43</v>
      </c>
      <c r="R40" s="21">
        <f t="shared" si="16"/>
        <v>45</v>
      </c>
      <c r="AG40" s="23" t="str">
        <f t="shared" si="32"/>
        <v>Adidas_lose</v>
      </c>
      <c r="AH40" s="23" t="str">
        <f t="shared" si="33"/>
        <v>Yonex_win</v>
      </c>
      <c r="AI40" s="55">
        <f t="shared" si="34"/>
        <v>14</v>
      </c>
      <c r="AJ40" s="55">
        <f t="shared" si="17"/>
      </c>
      <c r="AK40" s="55">
        <f t="shared" si="18"/>
      </c>
      <c r="AL40" s="2">
        <f t="shared" si="19"/>
        <v>-14</v>
      </c>
      <c r="AM40" s="55">
        <f t="shared" si="20"/>
        <v>14</v>
      </c>
    </row>
    <row r="41" spans="2:39" ht="12.75">
      <c r="B41" s="29" t="s">
        <v>77</v>
      </c>
      <c r="C41" s="85"/>
      <c r="D41" s="82">
        <v>8</v>
      </c>
      <c r="E41" s="82">
        <v>2</v>
      </c>
      <c r="F41" s="7" t="str">
        <f t="shared" si="30"/>
        <v>Carlton</v>
      </c>
      <c r="G41" s="56" t="s">
        <v>30</v>
      </c>
      <c r="H41" s="10" t="str">
        <f t="shared" si="31"/>
        <v>Babolat</v>
      </c>
      <c r="I41" s="20">
        <f aca="true" t="shared" si="44" ref="I41:I50">IF(K41="","",IF(K41&gt;L41,IF(M41&gt;N41,2,IF(O41&gt;P41,2,1)),IF(M41&gt;N41,IF(O41&gt;P41,2,1),0)))</f>
        <v>0</v>
      </c>
      <c r="J41" s="25">
        <f aca="true" t="shared" si="45" ref="J41:J50">IF(L41="","",IF(K41&lt;L41,IF(M41&lt;N41,2,IF(O41&lt;P41,2,1)),IF(M41&lt;N41,IF(O41&lt;P41,2,1),0)))</f>
        <v>1</v>
      </c>
      <c r="K41" s="48">
        <v>44</v>
      </c>
      <c r="L41" s="59">
        <v>45</v>
      </c>
      <c r="O41" s="58"/>
      <c r="P41" s="59"/>
      <c r="Q41" s="21">
        <f aca="true" t="shared" si="46" ref="Q41:Q50">IF(K41="","",K41+M41+O41)</f>
        <v>44</v>
      </c>
      <c r="R41" s="21">
        <f aca="true" t="shared" si="47" ref="R41:R50">IF(L41="","",L41+N41+P41)</f>
        <v>45</v>
      </c>
      <c r="AG41" s="23" t="str">
        <f t="shared" si="32"/>
        <v>Carlton_lose</v>
      </c>
      <c r="AH41" s="23" t="str">
        <f t="shared" si="33"/>
        <v>Babolat_win</v>
      </c>
      <c r="AI41" s="55">
        <f t="shared" si="34"/>
        <v>0</v>
      </c>
      <c r="AJ41" s="55">
        <f aca="true" t="shared" si="48" ref="AJ41:AJ50">IF(AG41="","",IF(VLOOKUP(F41,$AO$23:$AW$36,8,FALSE)=VLOOKUP(H41,$AO$23:$AW$36,8,FALSE),IF(J41="F",3,IF(I41="F",0,IF(I41&gt;J41,3,IF(I41&lt;J41,1,2)))),""))</f>
      </c>
      <c r="AK41" s="55">
        <f aca="true" t="shared" si="49" ref="AK41:AK50">IF(AJ41="","",IF(I41="F",3,IF(J41="F",0,IF(J41&gt;I41,3,IF(J41&lt;I41,1,2)))))</f>
      </c>
      <c r="AL41" s="2">
        <f aca="true" t="shared" si="50" ref="AL41:AL50">IF(OR(I41="",J41=""),0,IF(J41="F",AI41*4,IF(I41="F",AI41*-4,AI41*(I41-J41))))</f>
        <v>0</v>
      </c>
      <c r="AM41" s="55">
        <f t="shared" si="20"/>
        <v>0</v>
      </c>
    </row>
    <row r="42" spans="2:39" ht="12.75">
      <c r="B42" s="92" t="s">
        <v>78</v>
      </c>
      <c r="C42" s="92"/>
      <c r="D42" s="95">
        <v>9</v>
      </c>
      <c r="E42" s="95">
        <v>1</v>
      </c>
      <c r="F42" s="18" t="str">
        <f t="shared" si="30"/>
        <v>Trump</v>
      </c>
      <c r="G42" s="97" t="s">
        <v>30</v>
      </c>
      <c r="H42" s="9" t="str">
        <f t="shared" si="31"/>
        <v>Lining</v>
      </c>
      <c r="I42" s="90">
        <v>1</v>
      </c>
      <c r="J42" s="98">
        <v>0</v>
      </c>
      <c r="K42" s="99">
        <v>45</v>
      </c>
      <c r="L42" s="100">
        <v>41</v>
      </c>
      <c r="M42" s="109"/>
      <c r="N42" s="110"/>
      <c r="O42" s="111"/>
      <c r="P42" s="100"/>
      <c r="Q42" s="91">
        <f t="shared" si="46"/>
        <v>45</v>
      </c>
      <c r="R42" s="91">
        <f t="shared" si="47"/>
        <v>41</v>
      </c>
      <c r="AG42" s="23" t="str">
        <f t="shared" si="32"/>
        <v>Trump_win</v>
      </c>
      <c r="AH42" s="23" t="str">
        <f t="shared" si="33"/>
        <v>Lining_lose</v>
      </c>
      <c r="AI42" s="55">
        <f t="shared" si="34"/>
        <v>20</v>
      </c>
      <c r="AJ42" s="55">
        <f t="shared" si="48"/>
      </c>
      <c r="AK42" s="55">
        <f t="shared" si="49"/>
      </c>
      <c r="AL42" s="2">
        <f t="shared" si="50"/>
        <v>20</v>
      </c>
      <c r="AM42" s="55">
        <f t="shared" si="20"/>
        <v>-20</v>
      </c>
    </row>
    <row r="43" spans="2:39" ht="12.75">
      <c r="B43" s="29" t="s">
        <v>75</v>
      </c>
      <c r="C43" s="85" t="s">
        <v>72</v>
      </c>
      <c r="D43" s="78">
        <v>7</v>
      </c>
      <c r="E43" s="78">
        <v>5</v>
      </c>
      <c r="F43" s="7" t="str">
        <f t="shared" si="30"/>
        <v>Adidas</v>
      </c>
      <c r="G43" s="56" t="s">
        <v>30</v>
      </c>
      <c r="H43" s="10" t="str">
        <f t="shared" si="31"/>
        <v>Wilson</v>
      </c>
      <c r="I43" s="20">
        <f t="shared" si="44"/>
        <v>0</v>
      </c>
      <c r="J43" s="25">
        <f t="shared" si="45"/>
        <v>1</v>
      </c>
      <c r="K43" s="48">
        <v>44</v>
      </c>
      <c r="L43" s="59">
        <v>45</v>
      </c>
      <c r="O43" s="58"/>
      <c r="P43" s="59"/>
      <c r="Q43" s="21">
        <f t="shared" si="46"/>
        <v>44</v>
      </c>
      <c r="R43" s="21">
        <f t="shared" si="47"/>
        <v>45</v>
      </c>
      <c r="AG43" s="23" t="str">
        <f t="shared" si="32"/>
        <v>Adidas_lose</v>
      </c>
      <c r="AH43" s="23" t="str">
        <f t="shared" si="33"/>
        <v>Wilson_win</v>
      </c>
      <c r="AI43" s="55">
        <f t="shared" si="34"/>
        <v>0</v>
      </c>
      <c r="AJ43" s="55">
        <f t="shared" si="48"/>
      </c>
      <c r="AK43" s="55">
        <f t="shared" si="49"/>
      </c>
      <c r="AL43" s="2">
        <f t="shared" si="50"/>
        <v>0</v>
      </c>
      <c r="AM43" s="55">
        <f t="shared" si="20"/>
        <v>0</v>
      </c>
    </row>
    <row r="44" spans="2:39" ht="12.75">
      <c r="B44" s="29" t="s">
        <v>76</v>
      </c>
      <c r="D44" s="78">
        <v>8</v>
      </c>
      <c r="E44" s="78">
        <v>4</v>
      </c>
      <c r="F44" s="7" t="str">
        <f t="shared" si="30"/>
        <v>Carlton</v>
      </c>
      <c r="G44" s="56" t="s">
        <v>30</v>
      </c>
      <c r="H44" s="10" t="str">
        <f t="shared" si="31"/>
        <v>Oliver</v>
      </c>
      <c r="I44" s="20">
        <f t="shared" si="44"/>
        <v>1</v>
      </c>
      <c r="J44" s="25">
        <f t="shared" si="45"/>
        <v>0</v>
      </c>
      <c r="K44" s="48">
        <v>45</v>
      </c>
      <c r="L44" s="59">
        <v>32</v>
      </c>
      <c r="O44" s="58"/>
      <c r="P44" s="59"/>
      <c r="Q44" s="21">
        <f t="shared" si="46"/>
        <v>45</v>
      </c>
      <c r="R44" s="21">
        <f t="shared" si="47"/>
        <v>32</v>
      </c>
      <c r="AG44" s="23" t="str">
        <f t="shared" si="32"/>
        <v>Carlton_win</v>
      </c>
      <c r="AH44" s="23" t="str">
        <f t="shared" si="33"/>
        <v>Oliver_lose</v>
      </c>
      <c r="AI44" s="55">
        <f t="shared" si="34"/>
        <v>0</v>
      </c>
      <c r="AJ44" s="55">
        <f t="shared" si="48"/>
      </c>
      <c r="AK44" s="55">
        <f t="shared" si="49"/>
      </c>
      <c r="AL44" s="2">
        <f t="shared" si="50"/>
        <v>0</v>
      </c>
      <c r="AM44" s="55">
        <f t="shared" si="20"/>
        <v>0</v>
      </c>
    </row>
    <row r="45" spans="2:39" ht="12.75">
      <c r="B45" s="29" t="s">
        <v>77</v>
      </c>
      <c r="D45" s="78">
        <v>9</v>
      </c>
      <c r="E45" s="78">
        <v>3</v>
      </c>
      <c r="F45" s="7" t="str">
        <f t="shared" si="30"/>
        <v>Trump</v>
      </c>
      <c r="G45" s="56" t="s">
        <v>30</v>
      </c>
      <c r="H45" s="10" t="str">
        <f t="shared" si="31"/>
        <v>Yonex</v>
      </c>
      <c r="I45" s="20">
        <v>1</v>
      </c>
      <c r="J45" s="25">
        <v>0</v>
      </c>
      <c r="K45" s="48">
        <v>45</v>
      </c>
      <c r="L45" s="59">
        <v>20</v>
      </c>
      <c r="O45" s="58"/>
      <c r="P45" s="59"/>
      <c r="Q45" s="21">
        <f t="shared" si="46"/>
        <v>45</v>
      </c>
      <c r="R45" s="21">
        <f t="shared" si="47"/>
        <v>20</v>
      </c>
      <c r="AG45" s="23" t="str">
        <f t="shared" si="32"/>
        <v>Trump_win</v>
      </c>
      <c r="AH45" s="23" t="str">
        <f t="shared" si="33"/>
        <v>Yonex_lose</v>
      </c>
      <c r="AI45" s="55">
        <f t="shared" si="34"/>
        <v>0</v>
      </c>
      <c r="AJ45" s="55">
        <f t="shared" si="48"/>
      </c>
      <c r="AK45" s="55">
        <f t="shared" si="49"/>
      </c>
      <c r="AL45" s="2">
        <f t="shared" si="50"/>
        <v>0</v>
      </c>
      <c r="AM45" s="55">
        <f t="shared" si="20"/>
        <v>0</v>
      </c>
    </row>
    <row r="46" spans="2:39" ht="12.75">
      <c r="B46" s="92" t="s">
        <v>78</v>
      </c>
      <c r="C46" s="92"/>
      <c r="D46" s="101">
        <v>1</v>
      </c>
      <c r="E46" s="101">
        <v>2</v>
      </c>
      <c r="F46" s="18" t="str">
        <f t="shared" si="30"/>
        <v>Lining</v>
      </c>
      <c r="G46" s="97" t="s">
        <v>30</v>
      </c>
      <c r="H46" s="9" t="str">
        <f t="shared" si="31"/>
        <v>Babolat</v>
      </c>
      <c r="I46" s="90">
        <v>0</v>
      </c>
      <c r="J46" s="98">
        <v>1</v>
      </c>
      <c r="K46" s="99">
        <v>28</v>
      </c>
      <c r="L46" s="100">
        <v>45</v>
      </c>
      <c r="M46" s="109"/>
      <c r="N46" s="110"/>
      <c r="O46" s="111"/>
      <c r="P46" s="100"/>
      <c r="Q46" s="91">
        <f t="shared" si="46"/>
        <v>28</v>
      </c>
      <c r="R46" s="91">
        <f t="shared" si="47"/>
        <v>45</v>
      </c>
      <c r="AG46" s="23" t="str">
        <f t="shared" si="32"/>
        <v>Lining_lose</v>
      </c>
      <c r="AH46" s="23" t="str">
        <f t="shared" si="33"/>
        <v>Babolat_win</v>
      </c>
      <c r="AI46" s="55">
        <f t="shared" si="34"/>
        <v>0</v>
      </c>
      <c r="AJ46" s="55">
        <f t="shared" si="48"/>
      </c>
      <c r="AK46" s="55">
        <f t="shared" si="49"/>
      </c>
      <c r="AL46" s="2">
        <f t="shared" si="50"/>
        <v>0</v>
      </c>
      <c r="AM46" s="55">
        <f t="shared" si="20"/>
        <v>0</v>
      </c>
    </row>
    <row r="47" spans="2:39" ht="12.75">
      <c r="B47" s="29" t="s">
        <v>75</v>
      </c>
      <c r="C47" s="84" t="s">
        <v>73</v>
      </c>
      <c r="D47" s="82">
        <v>8</v>
      </c>
      <c r="E47" s="82">
        <v>6</v>
      </c>
      <c r="F47" s="7" t="str">
        <f t="shared" si="30"/>
        <v>Carlton</v>
      </c>
      <c r="G47" s="56" t="s">
        <v>30</v>
      </c>
      <c r="H47" s="10" t="str">
        <f t="shared" si="31"/>
        <v>Forza</v>
      </c>
      <c r="I47" s="20">
        <f t="shared" si="44"/>
        <v>0</v>
      </c>
      <c r="J47" s="25">
        <f t="shared" si="45"/>
        <v>1</v>
      </c>
      <c r="K47" s="48">
        <v>19</v>
      </c>
      <c r="L47" s="59">
        <v>45</v>
      </c>
      <c r="O47" s="58"/>
      <c r="P47" s="59"/>
      <c r="Q47" s="21">
        <f t="shared" si="46"/>
        <v>19</v>
      </c>
      <c r="R47" s="21">
        <f t="shared" si="47"/>
        <v>45</v>
      </c>
      <c r="AG47" s="23" t="str">
        <f t="shared" si="32"/>
        <v>Carlton_lose</v>
      </c>
      <c r="AH47" s="23" t="str">
        <f t="shared" si="33"/>
        <v>Forza_win</v>
      </c>
      <c r="AI47" s="55">
        <f t="shared" si="34"/>
        <v>0</v>
      </c>
      <c r="AJ47" s="55">
        <f t="shared" si="48"/>
      </c>
      <c r="AK47" s="55">
        <f t="shared" si="49"/>
      </c>
      <c r="AL47" s="2">
        <f t="shared" si="50"/>
        <v>0</v>
      </c>
      <c r="AM47" s="55">
        <f t="shared" si="20"/>
        <v>0</v>
      </c>
    </row>
    <row r="48" spans="2:39" ht="12.75">
      <c r="B48" s="29" t="s">
        <v>76</v>
      </c>
      <c r="C48" s="85"/>
      <c r="D48" s="82">
        <v>9</v>
      </c>
      <c r="E48" s="82">
        <v>5</v>
      </c>
      <c r="F48" s="7" t="str">
        <f t="shared" si="30"/>
        <v>Trump</v>
      </c>
      <c r="G48" s="56" t="s">
        <v>30</v>
      </c>
      <c r="H48" s="10" t="str">
        <f t="shared" si="31"/>
        <v>Wilson</v>
      </c>
      <c r="I48" s="20">
        <v>1</v>
      </c>
      <c r="J48" s="25">
        <v>0</v>
      </c>
      <c r="K48" s="48">
        <v>45</v>
      </c>
      <c r="L48" s="59">
        <v>33</v>
      </c>
      <c r="O48" s="58"/>
      <c r="P48" s="59"/>
      <c r="Q48" s="21">
        <f t="shared" si="46"/>
        <v>45</v>
      </c>
      <c r="R48" s="21">
        <f t="shared" si="47"/>
        <v>33</v>
      </c>
      <c r="AG48" s="23" t="str">
        <f t="shared" si="32"/>
        <v>Trump_win</v>
      </c>
      <c r="AH48" s="23" t="str">
        <f t="shared" si="33"/>
        <v>Wilson_lose</v>
      </c>
      <c r="AI48" s="55">
        <f t="shared" si="34"/>
        <v>0</v>
      </c>
      <c r="AJ48" s="55">
        <f t="shared" si="48"/>
      </c>
      <c r="AK48" s="55">
        <f t="shared" si="49"/>
      </c>
      <c r="AL48" s="2">
        <f t="shared" si="50"/>
        <v>0</v>
      </c>
      <c r="AM48" s="55">
        <f t="shared" si="20"/>
        <v>0</v>
      </c>
    </row>
    <row r="49" spans="2:39" ht="12.75">
      <c r="B49" s="29" t="s">
        <v>77</v>
      </c>
      <c r="D49" s="82">
        <v>1</v>
      </c>
      <c r="E49" s="82">
        <v>4</v>
      </c>
      <c r="F49" s="7" t="str">
        <f t="shared" si="30"/>
        <v>Lining</v>
      </c>
      <c r="G49" s="56" t="s">
        <v>30</v>
      </c>
      <c r="H49" s="10" t="str">
        <f t="shared" si="31"/>
        <v>Oliver</v>
      </c>
      <c r="I49" s="20">
        <f t="shared" si="44"/>
        <v>1</v>
      </c>
      <c r="J49" s="25">
        <f t="shared" si="45"/>
        <v>0</v>
      </c>
      <c r="K49" s="48">
        <v>45</v>
      </c>
      <c r="L49" s="59">
        <v>35</v>
      </c>
      <c r="O49" s="58"/>
      <c r="P49" s="59"/>
      <c r="Q49" s="21">
        <f t="shared" si="46"/>
        <v>45</v>
      </c>
      <c r="R49" s="21">
        <f t="shared" si="47"/>
        <v>35</v>
      </c>
      <c r="AG49" s="23" t="str">
        <f t="shared" si="32"/>
        <v>Lining_win</v>
      </c>
      <c r="AH49" s="23" t="str">
        <f t="shared" si="33"/>
        <v>Oliver_lose</v>
      </c>
      <c r="AI49" s="55">
        <f t="shared" si="34"/>
        <v>0</v>
      </c>
      <c r="AJ49" s="55">
        <f t="shared" si="48"/>
      </c>
      <c r="AK49" s="55">
        <f t="shared" si="49"/>
      </c>
      <c r="AL49" s="2">
        <f t="shared" si="50"/>
        <v>0</v>
      </c>
      <c r="AM49" s="55">
        <f t="shared" si="20"/>
        <v>0</v>
      </c>
    </row>
    <row r="50" spans="2:39" ht="12.75">
      <c r="B50" s="92" t="s">
        <v>78</v>
      </c>
      <c r="C50" s="92"/>
      <c r="D50" s="95">
        <v>2</v>
      </c>
      <c r="E50" s="95">
        <v>3</v>
      </c>
      <c r="F50" s="18" t="str">
        <f t="shared" si="30"/>
        <v>Babolat</v>
      </c>
      <c r="G50" s="97" t="s">
        <v>30</v>
      </c>
      <c r="H50" s="9" t="str">
        <f t="shared" si="31"/>
        <v>Yonex</v>
      </c>
      <c r="I50" s="90">
        <f t="shared" si="44"/>
        <v>1</v>
      </c>
      <c r="J50" s="98">
        <f t="shared" si="45"/>
        <v>0</v>
      </c>
      <c r="K50" s="99">
        <v>45</v>
      </c>
      <c r="L50" s="100">
        <v>37</v>
      </c>
      <c r="M50" s="109"/>
      <c r="N50" s="110"/>
      <c r="O50" s="111"/>
      <c r="P50" s="100"/>
      <c r="Q50" s="91">
        <f t="shared" si="46"/>
        <v>45</v>
      </c>
      <c r="R50" s="91">
        <f t="shared" si="47"/>
        <v>37</v>
      </c>
      <c r="AG50" s="23" t="str">
        <f t="shared" si="32"/>
        <v>Babolat_win</v>
      </c>
      <c r="AH50" s="23" t="str">
        <f t="shared" si="33"/>
        <v>Yonex_lose</v>
      </c>
      <c r="AI50" s="55">
        <f t="shared" si="34"/>
        <v>0</v>
      </c>
      <c r="AJ50" s="55">
        <f t="shared" si="48"/>
      </c>
      <c r="AK50" s="55">
        <f t="shared" si="49"/>
      </c>
      <c r="AL50" s="2">
        <f t="shared" si="50"/>
        <v>0</v>
      </c>
      <c r="AM50" s="55">
        <f t="shared" si="20"/>
        <v>0</v>
      </c>
    </row>
    <row r="51" spans="2:39" ht="12.75">
      <c r="B51" s="29" t="s">
        <v>75</v>
      </c>
      <c r="C51" s="85" t="s">
        <v>79</v>
      </c>
      <c r="D51" s="78">
        <v>9</v>
      </c>
      <c r="E51" s="78">
        <v>7</v>
      </c>
      <c r="F51" s="7" t="str">
        <f t="shared" si="30"/>
        <v>Trump</v>
      </c>
      <c r="G51" s="56" t="s">
        <v>30</v>
      </c>
      <c r="H51" s="10" t="str">
        <f t="shared" si="31"/>
        <v>Adidas</v>
      </c>
      <c r="I51" s="49">
        <v>0</v>
      </c>
      <c r="J51" s="61">
        <v>1</v>
      </c>
      <c r="K51" s="48">
        <v>40</v>
      </c>
      <c r="L51" s="59">
        <v>45</v>
      </c>
      <c r="O51" s="58"/>
      <c r="P51" s="59"/>
      <c r="Q51" s="93">
        <f aca="true" t="shared" si="51" ref="Q51:Q67">IF(K51="","",K51+M51+O51)</f>
        <v>40</v>
      </c>
      <c r="R51" s="93">
        <f aca="true" t="shared" si="52" ref="R51:R67">IF(L51="","",L51+N51+P51)</f>
        <v>45</v>
      </c>
      <c r="AG51" s="23" t="str">
        <f t="shared" si="32"/>
        <v>Trump_lose</v>
      </c>
      <c r="AH51" s="23" t="str">
        <f t="shared" si="33"/>
        <v>Adidas_win</v>
      </c>
      <c r="AI51" s="55">
        <f aca="true" t="shared" si="53" ref="AI51:AI66">IF(tri=0,IF(VLOOKUP(F51,$AO$23:$AW$36,9,FALSE)=VLOOKUP(H51,$AO$23:$AW$36,9,FALSE),VLOOKUP(F51,$AO$23:$AW$36,9,FALSE),0),IF(VLOOKUP(F51,$AO$23:$AW$36,9,FALSE)*100+VLOOKUP(F51,$AO$23:$AW$36,6,FALSE)=VLOOKUP(H51,$AO$23:$AW$36,9,FALSE)*100+VLOOKUP(H51,$AO$23:$AW$36,6,FALSE),VLOOKUP(F51,$AO$23:$AW$36,9,FALSE),0))</f>
        <v>0</v>
      </c>
      <c r="AJ51" s="55">
        <f aca="true" t="shared" si="54" ref="AJ51:AJ66">IF(AG51="","",IF(VLOOKUP(F51,$AO$23:$AW$36,8,FALSE)=VLOOKUP(H51,$AO$23:$AW$36,8,FALSE),IF(J51="F",3,IF(I51="F",0,IF(I51&gt;J51,3,IF(I51&lt;J51,1,2)))),""))</f>
      </c>
      <c r="AK51" s="55">
        <f aca="true" t="shared" si="55" ref="AK51:AK66">IF(AJ51="","",IF(I51="F",3,IF(J51="F",0,IF(J51&gt;I51,3,IF(J51&lt;I51,1,2)))))</f>
      </c>
      <c r="AL51" s="2">
        <f aca="true" t="shared" si="56" ref="AL51:AL66">IF(OR(I51="",J51=""),0,IF(J51="F",AI51*4,IF(I51="F",AI51*-4,AI51*(I51-J51))))</f>
        <v>0</v>
      </c>
      <c r="AM51" s="55">
        <f aca="true" t="shared" si="57" ref="AM51:AM66">-AL51</f>
        <v>0</v>
      </c>
    </row>
    <row r="52" spans="2:39" ht="12.75">
      <c r="B52" s="29" t="s">
        <v>76</v>
      </c>
      <c r="D52" s="78">
        <v>1</v>
      </c>
      <c r="E52" s="78">
        <v>6</v>
      </c>
      <c r="F52" s="7" t="str">
        <f t="shared" si="30"/>
        <v>Lining</v>
      </c>
      <c r="G52" s="56" t="s">
        <v>30</v>
      </c>
      <c r="H52" s="10" t="str">
        <f t="shared" si="31"/>
        <v>Forza</v>
      </c>
      <c r="I52" s="49">
        <v>1</v>
      </c>
      <c r="J52" s="61">
        <v>0</v>
      </c>
      <c r="K52" s="48">
        <v>45</v>
      </c>
      <c r="L52" s="59">
        <v>44</v>
      </c>
      <c r="O52" s="58"/>
      <c r="P52" s="59"/>
      <c r="Q52" s="93">
        <f t="shared" si="51"/>
        <v>45</v>
      </c>
      <c r="R52" s="93">
        <f t="shared" si="52"/>
        <v>44</v>
      </c>
      <c r="AG52" s="23" t="str">
        <f t="shared" si="32"/>
        <v>Lining_win</v>
      </c>
      <c r="AH52" s="23" t="str">
        <f t="shared" si="33"/>
        <v>Forza_lose</v>
      </c>
      <c r="AI52" s="55">
        <f t="shared" si="53"/>
        <v>0</v>
      </c>
      <c r="AJ52" s="55">
        <f t="shared" si="54"/>
      </c>
      <c r="AK52" s="55">
        <f t="shared" si="55"/>
      </c>
      <c r="AL52" s="2">
        <f t="shared" si="56"/>
        <v>0</v>
      </c>
      <c r="AM52" s="55">
        <f t="shared" si="57"/>
        <v>0</v>
      </c>
    </row>
    <row r="53" spans="2:39" ht="12.75">
      <c r="B53" s="29" t="s">
        <v>77</v>
      </c>
      <c r="C53" s="84"/>
      <c r="D53" s="78">
        <v>2</v>
      </c>
      <c r="E53" s="78">
        <v>5</v>
      </c>
      <c r="F53" s="7" t="str">
        <f t="shared" si="30"/>
        <v>Babolat</v>
      </c>
      <c r="G53" s="56" t="s">
        <v>30</v>
      </c>
      <c r="H53" s="10" t="str">
        <f t="shared" si="31"/>
        <v>Wilson</v>
      </c>
      <c r="I53" s="49">
        <f aca="true" t="shared" si="58" ref="I53:I67">IF(K53="","",IF(K53&gt;L53,IF(M53&gt;N53,2,IF(O53&gt;P53,2,1)),IF(M53&gt;N53,IF(O53&gt;P53,2,1),0)))</f>
        <v>1</v>
      </c>
      <c r="J53" s="61">
        <f aca="true" t="shared" si="59" ref="J53:J67">IF(L53="","",IF(K53&lt;L53,IF(M53&lt;N53,2,IF(O53&lt;P53,2,1)),IF(M53&lt;N53,IF(O53&lt;P53,2,1),0)))</f>
        <v>0</v>
      </c>
      <c r="K53" s="48">
        <v>45</v>
      </c>
      <c r="L53" s="59">
        <v>36</v>
      </c>
      <c r="O53" s="58"/>
      <c r="P53" s="59"/>
      <c r="Q53" s="93">
        <f t="shared" si="51"/>
        <v>45</v>
      </c>
      <c r="R53" s="93">
        <f t="shared" si="52"/>
        <v>36</v>
      </c>
      <c r="AG53" s="23" t="str">
        <f t="shared" si="32"/>
        <v>Babolat_win</v>
      </c>
      <c r="AH53" s="23" t="str">
        <f t="shared" si="33"/>
        <v>Wilson_lose</v>
      </c>
      <c r="AI53" s="55">
        <f t="shared" si="53"/>
        <v>0</v>
      </c>
      <c r="AJ53" s="55">
        <f t="shared" si="54"/>
      </c>
      <c r="AK53" s="55">
        <f t="shared" si="55"/>
      </c>
      <c r="AL53" s="2">
        <f t="shared" si="56"/>
        <v>0</v>
      </c>
      <c r="AM53" s="55">
        <f t="shared" si="57"/>
        <v>0</v>
      </c>
    </row>
    <row r="54" spans="2:39" ht="12.75">
      <c r="B54" s="92" t="s">
        <v>78</v>
      </c>
      <c r="C54" s="92"/>
      <c r="D54" s="101">
        <v>3</v>
      </c>
      <c r="E54" s="101">
        <v>4</v>
      </c>
      <c r="F54" s="18" t="str">
        <f t="shared" si="30"/>
        <v>Yonex</v>
      </c>
      <c r="G54" s="97" t="s">
        <v>30</v>
      </c>
      <c r="H54" s="9" t="str">
        <f t="shared" si="31"/>
        <v>Oliver</v>
      </c>
      <c r="I54" s="104">
        <f t="shared" si="58"/>
        <v>1</v>
      </c>
      <c r="J54" s="105">
        <f t="shared" si="59"/>
        <v>0</v>
      </c>
      <c r="K54" s="99">
        <v>45</v>
      </c>
      <c r="L54" s="100">
        <v>41</v>
      </c>
      <c r="M54" s="109"/>
      <c r="N54" s="110"/>
      <c r="O54" s="111"/>
      <c r="P54" s="100"/>
      <c r="Q54" s="106">
        <f t="shared" si="51"/>
        <v>45</v>
      </c>
      <c r="R54" s="106">
        <f t="shared" si="52"/>
        <v>41</v>
      </c>
      <c r="AG54" s="23" t="str">
        <f t="shared" si="32"/>
        <v>Yonex_win</v>
      </c>
      <c r="AH54" s="23" t="str">
        <f t="shared" si="33"/>
        <v>Oliver_lose</v>
      </c>
      <c r="AI54" s="55">
        <f t="shared" si="53"/>
        <v>0</v>
      </c>
      <c r="AJ54" s="55">
        <f t="shared" si="54"/>
      </c>
      <c r="AK54" s="55">
        <f t="shared" si="55"/>
      </c>
      <c r="AL54" s="2">
        <f t="shared" si="56"/>
        <v>0</v>
      </c>
      <c r="AM54" s="55">
        <f t="shared" si="57"/>
        <v>0</v>
      </c>
    </row>
    <row r="55" spans="2:39" ht="12.75">
      <c r="B55" s="29" t="s">
        <v>75</v>
      </c>
      <c r="C55" s="84" t="s">
        <v>80</v>
      </c>
      <c r="D55" s="82">
        <v>1</v>
      </c>
      <c r="E55" s="82">
        <v>8</v>
      </c>
      <c r="F55" s="7" t="str">
        <f t="shared" si="30"/>
        <v>Lining</v>
      </c>
      <c r="G55" s="56" t="s">
        <v>30</v>
      </c>
      <c r="H55" s="10" t="str">
        <f t="shared" si="31"/>
        <v>Carlton</v>
      </c>
      <c r="I55" s="49">
        <f t="shared" si="58"/>
        <v>1</v>
      </c>
      <c r="J55" s="61">
        <f t="shared" si="59"/>
        <v>0</v>
      </c>
      <c r="K55" s="48">
        <v>45</v>
      </c>
      <c r="L55" s="59">
        <v>35</v>
      </c>
      <c r="O55" s="58"/>
      <c r="P55" s="59"/>
      <c r="Q55" s="93">
        <f t="shared" si="51"/>
        <v>45</v>
      </c>
      <c r="R55" s="93">
        <f t="shared" si="52"/>
        <v>35</v>
      </c>
      <c r="AG55" s="23" t="str">
        <f t="shared" si="32"/>
        <v>Lining_win</v>
      </c>
      <c r="AH55" s="23" t="str">
        <f t="shared" si="33"/>
        <v>Carlton_lose</v>
      </c>
      <c r="AI55" s="55">
        <f t="shared" si="53"/>
        <v>0</v>
      </c>
      <c r="AJ55" s="55">
        <f t="shared" si="54"/>
      </c>
      <c r="AK55" s="55">
        <f t="shared" si="55"/>
      </c>
      <c r="AL55" s="2">
        <f t="shared" si="56"/>
        <v>0</v>
      </c>
      <c r="AM55" s="55">
        <f t="shared" si="57"/>
        <v>0</v>
      </c>
    </row>
    <row r="56" spans="2:39" ht="12.75">
      <c r="B56" s="29" t="s">
        <v>76</v>
      </c>
      <c r="D56" s="82">
        <v>2</v>
      </c>
      <c r="E56" s="82">
        <v>7</v>
      </c>
      <c r="F56" s="7" t="str">
        <f t="shared" si="30"/>
        <v>Babolat</v>
      </c>
      <c r="G56" s="56" t="s">
        <v>30</v>
      </c>
      <c r="H56" s="10" t="str">
        <f t="shared" si="31"/>
        <v>Adidas</v>
      </c>
      <c r="I56" s="49">
        <f t="shared" si="58"/>
        <v>0</v>
      </c>
      <c r="J56" s="61">
        <f t="shared" si="59"/>
        <v>1</v>
      </c>
      <c r="K56" s="48">
        <v>38</v>
      </c>
      <c r="L56" s="59">
        <v>45</v>
      </c>
      <c r="O56" s="58"/>
      <c r="P56" s="59"/>
      <c r="Q56" s="93">
        <f t="shared" si="51"/>
        <v>38</v>
      </c>
      <c r="R56" s="93">
        <f t="shared" si="52"/>
        <v>45</v>
      </c>
      <c r="AG56" s="23" t="str">
        <f t="shared" si="32"/>
        <v>Babolat_lose</v>
      </c>
      <c r="AH56" s="23" t="str">
        <f t="shared" si="33"/>
        <v>Adidas_win</v>
      </c>
      <c r="AI56" s="55">
        <f t="shared" si="53"/>
        <v>0</v>
      </c>
      <c r="AJ56" s="55">
        <f t="shared" si="54"/>
      </c>
      <c r="AK56" s="55">
        <f t="shared" si="55"/>
      </c>
      <c r="AL56" s="2">
        <f t="shared" si="56"/>
        <v>0</v>
      </c>
      <c r="AM56" s="55">
        <f t="shared" si="57"/>
        <v>0</v>
      </c>
    </row>
    <row r="57" spans="2:39" ht="12.75">
      <c r="B57" s="29" t="s">
        <v>77</v>
      </c>
      <c r="D57" s="82">
        <v>3</v>
      </c>
      <c r="E57" s="82">
        <v>6</v>
      </c>
      <c r="F57" s="7" t="str">
        <f t="shared" si="30"/>
        <v>Yonex</v>
      </c>
      <c r="G57" s="56" t="s">
        <v>30</v>
      </c>
      <c r="H57" s="10" t="str">
        <f t="shared" si="31"/>
        <v>Forza</v>
      </c>
      <c r="I57" s="49">
        <f t="shared" si="58"/>
        <v>0</v>
      </c>
      <c r="J57" s="61">
        <f t="shared" si="59"/>
        <v>1</v>
      </c>
      <c r="K57" s="48">
        <v>24</v>
      </c>
      <c r="L57" s="59">
        <v>45</v>
      </c>
      <c r="O57" s="58"/>
      <c r="P57" s="59"/>
      <c r="Q57" s="93">
        <f t="shared" si="51"/>
        <v>24</v>
      </c>
      <c r="R57" s="93">
        <f t="shared" si="52"/>
        <v>45</v>
      </c>
      <c r="AG57" s="23" t="str">
        <f t="shared" si="32"/>
        <v>Yonex_lose</v>
      </c>
      <c r="AH57" s="23" t="str">
        <f t="shared" si="33"/>
        <v>Forza_win</v>
      </c>
      <c r="AI57" s="55">
        <f t="shared" si="53"/>
        <v>0</v>
      </c>
      <c r="AJ57" s="55">
        <f t="shared" si="54"/>
      </c>
      <c r="AK57" s="55">
        <f t="shared" si="55"/>
      </c>
      <c r="AL57" s="2">
        <f t="shared" si="56"/>
        <v>0</v>
      </c>
      <c r="AM57" s="55">
        <f t="shared" si="57"/>
        <v>0</v>
      </c>
    </row>
    <row r="58" spans="2:39" ht="12.75">
      <c r="B58" s="29" t="s">
        <v>78</v>
      </c>
      <c r="C58" s="85"/>
      <c r="D58" s="82">
        <v>4</v>
      </c>
      <c r="E58" s="82">
        <v>5</v>
      </c>
      <c r="F58" s="7" t="str">
        <f t="shared" si="30"/>
        <v>Oliver</v>
      </c>
      <c r="G58" s="56" t="s">
        <v>30</v>
      </c>
      <c r="H58" s="10" t="str">
        <f t="shared" si="31"/>
        <v>Wilson</v>
      </c>
      <c r="I58" s="49">
        <f t="shared" si="58"/>
        <v>0</v>
      </c>
      <c r="J58" s="61">
        <f t="shared" si="59"/>
        <v>1</v>
      </c>
      <c r="K58" s="48">
        <v>34</v>
      </c>
      <c r="L58" s="59">
        <v>45</v>
      </c>
      <c r="O58" s="58"/>
      <c r="P58" s="59"/>
      <c r="Q58" s="93">
        <f t="shared" si="51"/>
        <v>34</v>
      </c>
      <c r="R58" s="93">
        <f t="shared" si="52"/>
        <v>45</v>
      </c>
      <c r="AG58" s="23" t="str">
        <f t="shared" si="32"/>
        <v>Oliver_lose</v>
      </c>
      <c r="AH58" s="23" t="str">
        <f t="shared" si="33"/>
        <v>Wilson_win</v>
      </c>
      <c r="AI58" s="55">
        <f t="shared" si="53"/>
        <v>0</v>
      </c>
      <c r="AJ58" s="55">
        <f t="shared" si="54"/>
      </c>
      <c r="AK58" s="55">
        <f t="shared" si="55"/>
      </c>
      <c r="AL58" s="2">
        <f t="shared" si="56"/>
        <v>0</v>
      </c>
      <c r="AM58" s="55">
        <f t="shared" si="57"/>
        <v>0</v>
      </c>
    </row>
    <row r="59" spans="3:39" ht="12.75">
      <c r="C59" s="84"/>
      <c r="D59" s="78"/>
      <c r="E59" s="78"/>
      <c r="F59" s="7"/>
      <c r="G59" s="56"/>
      <c r="H59" s="10"/>
      <c r="I59" s="49">
        <f t="shared" si="58"/>
      </c>
      <c r="J59" s="61">
        <f t="shared" si="59"/>
      </c>
      <c r="K59" s="48"/>
      <c r="L59" s="59"/>
      <c r="M59" s="48"/>
      <c r="N59" s="59"/>
      <c r="O59" s="48"/>
      <c r="P59" s="59"/>
      <c r="Q59" s="93">
        <f t="shared" si="51"/>
      </c>
      <c r="R59" s="93">
        <f t="shared" si="52"/>
      </c>
      <c r="AG59" s="23">
        <f t="shared" si="32"/>
      </c>
      <c r="AH59" s="23">
        <f t="shared" si="33"/>
      </c>
      <c r="AI59" s="55">
        <f t="shared" si="53"/>
        <v>0</v>
      </c>
      <c r="AJ59" s="55">
        <f t="shared" si="54"/>
      </c>
      <c r="AK59" s="55">
        <f t="shared" si="55"/>
      </c>
      <c r="AL59" s="2">
        <f t="shared" si="56"/>
        <v>0</v>
      </c>
      <c r="AM59" s="55">
        <f t="shared" si="57"/>
        <v>0</v>
      </c>
    </row>
    <row r="60" spans="4:39" ht="12.75">
      <c r="D60" s="78"/>
      <c r="E60" s="78"/>
      <c r="F60" s="7"/>
      <c r="G60" s="56"/>
      <c r="H60" s="10"/>
      <c r="I60" s="49">
        <f t="shared" si="58"/>
      </c>
      <c r="J60" s="61">
        <f t="shared" si="59"/>
      </c>
      <c r="K60" s="48"/>
      <c r="L60" s="59"/>
      <c r="M60" s="48"/>
      <c r="N60" s="59"/>
      <c r="O60" s="48"/>
      <c r="P60" s="59"/>
      <c r="Q60" s="93">
        <f t="shared" si="51"/>
      </c>
      <c r="R60" s="93">
        <f t="shared" si="52"/>
      </c>
      <c r="AG60" s="23">
        <f t="shared" si="32"/>
      </c>
      <c r="AH60" s="23">
        <f t="shared" si="33"/>
      </c>
      <c r="AI60" s="55">
        <f t="shared" si="53"/>
        <v>0</v>
      </c>
      <c r="AJ60" s="55">
        <f t="shared" si="54"/>
      </c>
      <c r="AK60" s="55">
        <f t="shared" si="55"/>
      </c>
      <c r="AL60" s="2">
        <f t="shared" si="56"/>
        <v>0</v>
      </c>
      <c r="AM60" s="55">
        <f t="shared" si="57"/>
        <v>0</v>
      </c>
    </row>
    <row r="61" spans="4:39" ht="12.75">
      <c r="D61" s="78"/>
      <c r="E61" s="78"/>
      <c r="F61" s="7"/>
      <c r="G61" s="56"/>
      <c r="H61" s="10"/>
      <c r="I61" s="49">
        <f t="shared" si="58"/>
      </c>
      <c r="J61" s="61">
        <f t="shared" si="59"/>
      </c>
      <c r="K61" s="48"/>
      <c r="L61" s="59"/>
      <c r="M61" s="48"/>
      <c r="N61" s="59"/>
      <c r="O61" s="48"/>
      <c r="P61" s="59"/>
      <c r="Q61" s="93">
        <f t="shared" si="51"/>
      </c>
      <c r="R61" s="93">
        <f t="shared" si="52"/>
      </c>
      <c r="AG61" s="23">
        <f t="shared" si="32"/>
      </c>
      <c r="AH61" s="23">
        <f t="shared" si="33"/>
      </c>
      <c r="AI61" s="55">
        <f t="shared" si="53"/>
        <v>0</v>
      </c>
      <c r="AJ61" s="55">
        <f t="shared" si="54"/>
      </c>
      <c r="AK61" s="55">
        <f t="shared" si="55"/>
      </c>
      <c r="AL61" s="2">
        <f t="shared" si="56"/>
        <v>0</v>
      </c>
      <c r="AM61" s="55">
        <f t="shared" si="57"/>
        <v>0</v>
      </c>
    </row>
    <row r="62" spans="4:39" ht="12.75">
      <c r="D62" s="78"/>
      <c r="E62" s="78"/>
      <c r="F62" s="7"/>
      <c r="G62" s="56"/>
      <c r="H62" s="10"/>
      <c r="I62" s="49">
        <f t="shared" si="58"/>
      </c>
      <c r="J62" s="61">
        <f t="shared" si="59"/>
      </c>
      <c r="K62" s="48"/>
      <c r="L62" s="59"/>
      <c r="M62" s="48"/>
      <c r="N62" s="59"/>
      <c r="O62" s="48"/>
      <c r="P62" s="59"/>
      <c r="Q62" s="93">
        <f t="shared" si="51"/>
      </c>
      <c r="R62" s="93">
        <f t="shared" si="52"/>
      </c>
      <c r="AG62" s="23">
        <f t="shared" si="32"/>
      </c>
      <c r="AH62" s="23">
        <f t="shared" si="33"/>
      </c>
      <c r="AI62" s="55">
        <f t="shared" si="53"/>
        <v>0</v>
      </c>
      <c r="AJ62" s="55">
        <f t="shared" si="54"/>
      </c>
      <c r="AK62" s="55">
        <f t="shared" si="55"/>
      </c>
      <c r="AL62" s="2">
        <f t="shared" si="56"/>
        <v>0</v>
      </c>
      <c r="AM62" s="55">
        <f t="shared" si="57"/>
        <v>0</v>
      </c>
    </row>
    <row r="63" spans="3:39" ht="12.75">
      <c r="C63" s="84"/>
      <c r="D63" s="82"/>
      <c r="E63" s="82"/>
      <c r="F63" s="7"/>
      <c r="G63" s="56"/>
      <c r="H63" s="10"/>
      <c r="I63" s="49">
        <f t="shared" si="58"/>
      </c>
      <c r="J63" s="61">
        <f t="shared" si="59"/>
      </c>
      <c r="K63" s="48"/>
      <c r="L63" s="59"/>
      <c r="M63" s="48"/>
      <c r="N63" s="59"/>
      <c r="O63" s="48"/>
      <c r="P63" s="59"/>
      <c r="Q63" s="93">
        <f t="shared" si="51"/>
      </c>
      <c r="R63" s="93">
        <f t="shared" si="52"/>
      </c>
      <c r="AG63" s="23">
        <f t="shared" si="32"/>
      </c>
      <c r="AH63" s="23">
        <f t="shared" si="33"/>
      </c>
      <c r="AI63" s="55">
        <f t="shared" si="53"/>
        <v>0</v>
      </c>
      <c r="AJ63" s="55">
        <f t="shared" si="54"/>
      </c>
      <c r="AK63" s="55">
        <f t="shared" si="55"/>
      </c>
      <c r="AL63" s="2">
        <f t="shared" si="56"/>
        <v>0</v>
      </c>
      <c r="AM63" s="55">
        <f t="shared" si="57"/>
        <v>0</v>
      </c>
    </row>
    <row r="64" spans="4:39" ht="12.75">
      <c r="D64" s="82"/>
      <c r="E64" s="82"/>
      <c r="F64" s="7"/>
      <c r="G64" s="56"/>
      <c r="H64" s="10"/>
      <c r="I64" s="49">
        <f t="shared" si="58"/>
      </c>
      <c r="J64" s="61">
        <f t="shared" si="59"/>
      </c>
      <c r="K64" s="48"/>
      <c r="L64" s="59"/>
      <c r="M64" s="48"/>
      <c r="N64" s="59"/>
      <c r="O64" s="48"/>
      <c r="P64" s="59"/>
      <c r="Q64" s="93">
        <f t="shared" si="51"/>
      </c>
      <c r="R64" s="93">
        <f t="shared" si="52"/>
      </c>
      <c r="AG64" s="23">
        <f t="shared" si="32"/>
      </c>
      <c r="AH64" s="23">
        <f t="shared" si="33"/>
      </c>
      <c r="AI64" s="55">
        <f t="shared" si="53"/>
        <v>0</v>
      </c>
      <c r="AJ64" s="55">
        <f t="shared" si="54"/>
      </c>
      <c r="AK64" s="55">
        <f t="shared" si="55"/>
      </c>
      <c r="AL64" s="2">
        <f t="shared" si="56"/>
        <v>0</v>
      </c>
      <c r="AM64" s="55">
        <f t="shared" si="57"/>
        <v>0</v>
      </c>
    </row>
    <row r="65" spans="3:39" ht="12.75">
      <c r="C65" s="85"/>
      <c r="D65" s="82"/>
      <c r="E65" s="82"/>
      <c r="F65" s="7"/>
      <c r="G65" s="56"/>
      <c r="H65" s="10"/>
      <c r="I65" s="49">
        <f t="shared" si="58"/>
      </c>
      <c r="J65" s="61">
        <f t="shared" si="59"/>
      </c>
      <c r="K65" s="48"/>
      <c r="L65" s="59"/>
      <c r="M65" s="48"/>
      <c r="N65" s="59"/>
      <c r="O65" s="48"/>
      <c r="P65" s="59"/>
      <c r="Q65" s="93">
        <f t="shared" si="51"/>
      </c>
      <c r="R65" s="74">
        <f t="shared" si="52"/>
      </c>
      <c r="AG65" s="23">
        <f t="shared" si="32"/>
      </c>
      <c r="AH65" s="23">
        <f t="shared" si="33"/>
      </c>
      <c r="AI65" s="55">
        <f t="shared" si="53"/>
        <v>0</v>
      </c>
      <c r="AJ65" s="55">
        <f t="shared" si="54"/>
      </c>
      <c r="AK65" s="55">
        <f t="shared" si="55"/>
      </c>
      <c r="AL65" s="2">
        <f t="shared" si="56"/>
        <v>0</v>
      </c>
      <c r="AM65" s="55">
        <f t="shared" si="57"/>
        <v>0</v>
      </c>
    </row>
    <row r="66" spans="4:39" ht="12.75">
      <c r="D66" s="82"/>
      <c r="E66" s="82"/>
      <c r="F66" s="7"/>
      <c r="G66" s="56"/>
      <c r="H66" s="10"/>
      <c r="I66" s="49">
        <f t="shared" si="58"/>
      </c>
      <c r="J66" s="61">
        <f t="shared" si="59"/>
      </c>
      <c r="K66" s="48"/>
      <c r="L66" s="59"/>
      <c r="M66" s="48"/>
      <c r="N66" s="59"/>
      <c r="O66" s="48"/>
      <c r="P66" s="59"/>
      <c r="Q66" s="93">
        <f t="shared" si="51"/>
      </c>
      <c r="R66" s="74">
        <f t="shared" si="52"/>
      </c>
      <c r="AG66" s="23">
        <f t="shared" si="32"/>
      </c>
      <c r="AH66" s="23">
        <f t="shared" si="33"/>
      </c>
      <c r="AI66" s="55">
        <f t="shared" si="53"/>
        <v>0</v>
      </c>
      <c r="AJ66" s="55">
        <f t="shared" si="54"/>
      </c>
      <c r="AK66" s="55">
        <f t="shared" si="55"/>
      </c>
      <c r="AL66" s="2">
        <f t="shared" si="56"/>
        <v>0</v>
      </c>
      <c r="AM66" s="55">
        <f t="shared" si="57"/>
        <v>0</v>
      </c>
    </row>
    <row r="67" spans="4:39" ht="12.75">
      <c r="D67" s="82"/>
      <c r="E67" s="82"/>
      <c r="F67" s="7"/>
      <c r="G67" s="56"/>
      <c r="H67" s="10"/>
      <c r="I67" s="49">
        <f t="shared" si="58"/>
      </c>
      <c r="J67" s="61">
        <f t="shared" si="59"/>
      </c>
      <c r="K67" s="48"/>
      <c r="L67" s="59"/>
      <c r="M67" s="48"/>
      <c r="N67" s="59"/>
      <c r="O67" s="48"/>
      <c r="P67" s="59"/>
      <c r="Q67" s="93">
        <f t="shared" si="51"/>
      </c>
      <c r="R67" s="74">
        <f t="shared" si="52"/>
      </c>
      <c r="AG67" s="23">
        <f t="shared" si="32"/>
      </c>
      <c r="AH67" s="23">
        <f t="shared" si="33"/>
      </c>
      <c r="AI67" s="55">
        <f>IF(tri=0,IF(VLOOKUP(F67,$AO$23:$AW$36,9,FALSE)=VLOOKUP(H67,$AO$23:$AW$36,9,FALSE),VLOOKUP(F67,$AO$23:$AW$36,9,FALSE),0),IF(VLOOKUP(F67,$AO$23:$AW$36,9,FALSE)*100+VLOOKUP(F67,$AO$23:$AW$36,6,FALSE)=VLOOKUP(H67,$AO$23:$AW$36,9,FALSE)*100+VLOOKUP(H67,$AO$23:$AW$36,6,FALSE),VLOOKUP(F67,$AO$23:$AW$36,9,FALSE),0))</f>
        <v>0</v>
      </c>
      <c r="AJ67" s="55">
        <f>IF(AG67="","",IF(VLOOKUP(F67,$AO$23:$AW$36,8,FALSE)=VLOOKUP(H67,$AO$23:$AW$36,8,FALSE),IF(J67="F",3,IF(I67="F",0,IF(I67&gt;J67,3,IF(I67&lt;J67,1,2)))),""))</f>
      </c>
      <c r="AK67" s="55">
        <f>IF(AJ67="","",IF(I67="F",3,IF(J67="F",0,IF(J67&gt;I67,3,IF(J67&lt;I67,1,2)))))</f>
      </c>
      <c r="AL67" s="2">
        <f>IF(OR(I67="",J67=""),0,IF(J67="F",AI67*4,IF(I67="F",AI67*-4,AI67*(I67-J67))))</f>
        <v>0</v>
      </c>
      <c r="AM67" s="55">
        <f>-AL67</f>
        <v>0</v>
      </c>
    </row>
    <row r="68" spans="3:17" ht="12.75">
      <c r="C68" s="85"/>
      <c r="D68" s="78"/>
      <c r="E68" s="78"/>
      <c r="F68" s="7"/>
      <c r="G68" s="56"/>
      <c r="H68" s="10"/>
      <c r="I68" s="26"/>
      <c r="K68" s="26"/>
      <c r="M68" s="26"/>
      <c r="O68" s="49"/>
      <c r="Q68" s="7"/>
    </row>
    <row r="69" spans="4:17" ht="12.75">
      <c r="D69" s="78"/>
      <c r="E69" s="78"/>
      <c r="F69" s="7"/>
      <c r="G69" s="56"/>
      <c r="H69" s="10"/>
      <c r="I69" s="26"/>
      <c r="K69" s="26"/>
      <c r="M69" s="26"/>
      <c r="O69" s="49"/>
      <c r="Q69" s="7"/>
    </row>
    <row r="70" spans="4:17" ht="12.75">
      <c r="D70" s="78"/>
      <c r="E70" s="78"/>
      <c r="F70" s="7"/>
      <c r="G70" s="56"/>
      <c r="H70" s="10"/>
      <c r="I70" s="26"/>
      <c r="K70" s="26"/>
      <c r="M70" s="26"/>
      <c r="O70" s="49"/>
      <c r="Q70" s="7"/>
    </row>
    <row r="71" spans="3:17" ht="12.75">
      <c r="C71" s="84"/>
      <c r="D71" s="78"/>
      <c r="E71" s="78"/>
      <c r="F71" s="7"/>
      <c r="G71" s="56"/>
      <c r="H71" s="10"/>
      <c r="I71" s="26"/>
      <c r="K71" s="26"/>
      <c r="M71" s="26"/>
      <c r="O71" s="49"/>
      <c r="Q71" s="7"/>
    </row>
    <row r="72" spans="4:17" ht="12.75">
      <c r="D72" s="78"/>
      <c r="E72" s="78"/>
      <c r="F72" s="7"/>
      <c r="G72" s="56"/>
      <c r="H72" s="10"/>
      <c r="I72" s="26"/>
      <c r="K72" s="26"/>
      <c r="M72" s="26"/>
      <c r="O72" s="49"/>
      <c r="Q72" s="7"/>
    </row>
    <row r="73" spans="3:17" ht="12.75">
      <c r="C73" s="84"/>
      <c r="D73" s="82"/>
      <c r="E73" s="82"/>
      <c r="F73" s="7"/>
      <c r="G73" s="56"/>
      <c r="H73" s="10"/>
      <c r="I73" s="26"/>
      <c r="K73" s="26"/>
      <c r="M73" s="26"/>
      <c r="O73" s="49"/>
      <c r="Q73" s="7"/>
    </row>
    <row r="74" spans="4:17" ht="12.75">
      <c r="D74" s="82"/>
      <c r="E74" s="82"/>
      <c r="F74" s="7"/>
      <c r="G74" s="56"/>
      <c r="H74" s="10"/>
      <c r="I74" s="26"/>
      <c r="K74" s="26"/>
      <c r="M74" s="26"/>
      <c r="O74" s="49"/>
      <c r="Q74" s="7"/>
    </row>
    <row r="75" spans="4:17" ht="12.75">
      <c r="D75" s="82"/>
      <c r="E75" s="82"/>
      <c r="F75" s="7"/>
      <c r="G75" s="56"/>
      <c r="H75" s="10"/>
      <c r="I75" s="26"/>
      <c r="K75" s="26"/>
      <c r="M75" s="26"/>
      <c r="O75" s="49"/>
      <c r="Q75" s="7"/>
    </row>
    <row r="76" spans="4:17" ht="12.75">
      <c r="D76" s="82"/>
      <c r="E76" s="82"/>
      <c r="F76" s="7"/>
      <c r="G76" s="56"/>
      <c r="H76" s="10"/>
      <c r="I76" s="26"/>
      <c r="K76" s="26"/>
      <c r="M76" s="26"/>
      <c r="O76" s="49"/>
      <c r="Q76" s="7"/>
    </row>
    <row r="77" spans="3:17" ht="12.75">
      <c r="C77" s="85"/>
      <c r="D77" s="82"/>
      <c r="E77" s="82"/>
      <c r="F77" s="7"/>
      <c r="G77" s="56"/>
      <c r="H77" s="10"/>
      <c r="I77" s="26"/>
      <c r="K77" s="26"/>
      <c r="M77" s="26"/>
      <c r="O77" s="49"/>
      <c r="Q77" s="7"/>
    </row>
    <row r="78" spans="4:9" ht="12.75">
      <c r="D78" s="87"/>
      <c r="E78" s="87"/>
      <c r="H78" s="10"/>
      <c r="I78" s="26"/>
    </row>
    <row r="79" spans="4:5" ht="12.75">
      <c r="D79" s="87"/>
      <c r="E79" s="87"/>
    </row>
    <row r="80" spans="4:5" ht="12.75">
      <c r="D80" s="87"/>
      <c r="E80" s="87"/>
    </row>
    <row r="81" spans="4:5" ht="12.75">
      <c r="D81" s="87"/>
      <c r="E81" s="87"/>
    </row>
    <row r="82" spans="4:5" ht="12.75">
      <c r="D82" s="87"/>
      <c r="E82" s="87"/>
    </row>
    <row r="83" spans="3:5" ht="12.75">
      <c r="C83" s="84"/>
      <c r="D83" s="80"/>
      <c r="E83" s="80"/>
    </row>
    <row r="84" spans="4:5" ht="12.75">
      <c r="D84" s="80"/>
      <c r="E84" s="80"/>
    </row>
    <row r="85" spans="4:5" ht="12.75">
      <c r="D85" s="80"/>
      <c r="E85" s="80"/>
    </row>
    <row r="86" spans="4:5" ht="12.75">
      <c r="D86" s="80"/>
      <c r="E86" s="80"/>
    </row>
    <row r="87" spans="4:5" ht="12.75">
      <c r="D87" s="80"/>
      <c r="E87" s="80"/>
    </row>
    <row r="88" spans="4:5" ht="12.75">
      <c r="D88" s="80"/>
      <c r="E88" s="80"/>
    </row>
  </sheetData>
  <sheetProtection/>
  <mergeCells count="5">
    <mergeCell ref="AI21:AK21"/>
    <mergeCell ref="AL21:AM21"/>
    <mergeCell ref="E1:H1"/>
    <mergeCell ref="O2:Q2"/>
    <mergeCell ref="R2:T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Championnat Mixte 2010-2011</dc:title>
  <dc:subject/>
  <dc:creator>Alain DEZAIRE</dc:creator>
  <cp:keywords/>
  <dc:description/>
  <cp:lastModifiedBy>Administrateur</cp:lastModifiedBy>
  <cp:lastPrinted>2013-10-24T12:05:16Z</cp:lastPrinted>
  <dcterms:created xsi:type="dcterms:W3CDTF">2007-07-03T16:02:23Z</dcterms:created>
  <dcterms:modified xsi:type="dcterms:W3CDTF">2017-05-22T07:59:29Z</dcterms:modified>
  <cp:category/>
  <cp:version/>
  <cp:contentType/>
  <cp:contentStatus/>
</cp:coreProperties>
</file>